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1"/>
  </bookViews>
  <sheets>
    <sheet name="приложение 1" sheetId="1" r:id="rId1"/>
    <sheet name="приложение 2" sheetId="2" r:id="rId2"/>
    <sheet name="Приложение 2.1 СМП " sheetId="3" r:id="rId3"/>
    <sheet name="Приложение 2.2 АПП" sheetId="4" r:id="rId4"/>
    <sheet name="Приложение 2.3 АПП " sheetId="5" r:id="rId5"/>
    <sheet name="Приложение 2.4 -КС" sheetId="6" r:id="rId6"/>
    <sheet name="Приложение 2.5 -ДС " sheetId="7" r:id="rId7"/>
    <sheet name="приложение 3" sheetId="8" r:id="rId8"/>
    <sheet name="приложение 4" sheetId="9" r:id="rId9"/>
    <sheet name="приложение 5" sheetId="10" r:id="rId10"/>
    <sheet name="приложение 6 ИФТП" sheetId="11" r:id="rId11"/>
    <sheet name="Приложение 7 УСТП_2017" sheetId="12" r:id="rId12"/>
  </sheets>
  <definedNames>
    <definedName name="_xlnm.Print_Titles" localSheetId="11">'Приложение 7 УСТП_2017'!$10:$10</definedName>
    <definedName name="_xlnm.Print_Area" localSheetId="0">'приложение 1'!$A$1:$N$15</definedName>
    <definedName name="_xlnm.Print_Area" localSheetId="1">'приложение 2'!$B$1:$P$25</definedName>
    <definedName name="_xlnm.Print_Area" localSheetId="2">'Приложение 2.1 СМП '!$A$1:$C$11</definedName>
    <definedName name="_xlnm.Print_Area" localSheetId="3">'Приложение 2.2 АПП'!$A$1:$R$135</definedName>
    <definedName name="_xlnm.Print_Area" localSheetId="4">'Приложение 2.3 АПП '!$B$1:$R$28</definedName>
    <definedName name="_xlnm.Print_Area" localSheetId="5">'Приложение 2.4 -КС'!$B$1:$I$150</definedName>
    <definedName name="_xlnm.Print_Area" localSheetId="6">'Приложение 2.5 -ДС '!$A$1:$I$29</definedName>
    <definedName name="_xlnm.Print_Area" localSheetId="7">'приложение 3'!$A$1:$I$30</definedName>
    <definedName name="_xlnm.Print_Area" localSheetId="8">'приложение 4'!$A$1:$O$58</definedName>
    <definedName name="_xlnm.Print_Area" localSheetId="9">'приложение 5'!$A$1:$G$45</definedName>
    <definedName name="_xlnm.Print_Area" localSheetId="11">'Приложение 7 УСТП_2017'!$A$1:$J$46</definedName>
  </definedNames>
  <calcPr fullCalcOnLoad="1"/>
</workbook>
</file>

<file path=xl/sharedStrings.xml><?xml version="1.0" encoding="utf-8"?>
<sst xmlns="http://schemas.openxmlformats.org/spreadsheetml/2006/main" count="674" uniqueCount="334">
  <si>
    <t>кол - во пациенто-дней</t>
  </si>
  <si>
    <t>Итого посещений с профилактической целью</t>
  </si>
  <si>
    <t>Итого посещений по неотложной медицинской помощи</t>
  </si>
  <si>
    <t>3. Стационарная помощь</t>
  </si>
  <si>
    <r>
      <t>9.</t>
    </r>
    <r>
      <rPr>
        <b/>
        <sz val="12"/>
        <rFont val="Times New Roman"/>
        <family val="1"/>
      </rPr>
      <t xml:space="preserve"> Итого </t>
    </r>
    <r>
      <rPr>
        <sz val="12"/>
        <rFont val="Times New Roman"/>
        <family val="1"/>
      </rPr>
      <t xml:space="preserve"> </t>
    </r>
  </si>
  <si>
    <t>обращений</t>
  </si>
  <si>
    <t>случаев госпитализации</t>
  </si>
  <si>
    <t>койко-день</t>
  </si>
  <si>
    <t>ед.изм.</t>
  </si>
  <si>
    <t>ИТОГО:</t>
  </si>
  <si>
    <t>бесплатного оказания гражданам  медицинской помощи по условиям ее оказания ( по статьям расходов за счет средств ОМС)</t>
  </si>
  <si>
    <t xml:space="preserve"> застрахованным г.Байконур оказанная помощь в других субъектах РФ, оплачиваемых через ТФОМС города Байконур</t>
  </si>
  <si>
    <t>Скооректированное число посещений на 2016год на 43548 чел.</t>
  </si>
  <si>
    <t>проведение диспансеризации детей-сирот и детей, оставшихся без попечения родителей</t>
  </si>
  <si>
    <t xml:space="preserve">проведение профилактических медицинских осмотров несовершеннолетних </t>
  </si>
  <si>
    <t xml:space="preserve">проведение предварительных медицинских осмотров несовершеннолетних </t>
  </si>
  <si>
    <t xml:space="preserve">проведение периодических медицинских осмотров несовершеннолетних </t>
  </si>
  <si>
    <t>всего</t>
  </si>
  <si>
    <t>в том числе</t>
  </si>
  <si>
    <t>взр.</t>
  </si>
  <si>
    <t>детей</t>
  </si>
  <si>
    <t xml:space="preserve">взр. </t>
  </si>
  <si>
    <t xml:space="preserve">взросл. </t>
  </si>
  <si>
    <t>А</t>
  </si>
  <si>
    <t>Кардиология и ревматология</t>
  </si>
  <si>
    <t>Педиатрия</t>
  </si>
  <si>
    <t>Терапия</t>
  </si>
  <si>
    <t>Эндокринология</t>
  </si>
  <si>
    <t>Аллергология и иммунология</t>
  </si>
  <si>
    <t>Гастроэнтерология</t>
  </si>
  <si>
    <t>Неврология</t>
  </si>
  <si>
    <t>Инфекционные болезни</t>
  </si>
  <si>
    <t>Хирургия</t>
  </si>
  <si>
    <t>Урология</t>
  </si>
  <si>
    <t>Онкология</t>
  </si>
  <si>
    <t>Стоматология</t>
  </si>
  <si>
    <t>Акушерство-гинекология</t>
  </si>
  <si>
    <t>Отоларингология</t>
  </si>
  <si>
    <t>Офтальмология</t>
  </si>
  <si>
    <t>Дерматология</t>
  </si>
  <si>
    <t>Посещения центров здоровья</t>
  </si>
  <si>
    <t>Посещения к среднему медперсоналу</t>
  </si>
  <si>
    <t>Разовые посещения по поводу заболевания</t>
  </si>
  <si>
    <t>Итого по Программе ОМС</t>
  </si>
  <si>
    <t>Межтериториальные расчеты</t>
  </si>
  <si>
    <t>Всего по Программе ОМС</t>
  </si>
  <si>
    <t>Оказываемой гражданам, застрахованным в городе Байконур и получивших медицинскую помощь в других МО за пределами города Байконур</t>
  </si>
  <si>
    <t>Круглосуточный стационар</t>
  </si>
  <si>
    <t>План числа обращений на 2015г.</t>
  </si>
  <si>
    <t>Фактическое выполнение за 9 месяцев 2015г.</t>
  </si>
  <si>
    <t>Прогноз выполнения за 2015 год на 42563 чел.</t>
  </si>
  <si>
    <t>Оказываемая помощь по межтеррасчетам</t>
  </si>
  <si>
    <t>в том числе для:</t>
  </si>
  <si>
    <t xml:space="preserve">в том числе </t>
  </si>
  <si>
    <t>Кардиоревматология и ревматология</t>
  </si>
  <si>
    <t>Оториноларингология</t>
  </si>
  <si>
    <t>Межтерриториальные расчеты</t>
  </si>
  <si>
    <t>ВСЕГО по Программе ОМС</t>
  </si>
  <si>
    <t>Среднее число случаев госпитализации за 2012-2014г.г.  по данным МО</t>
  </si>
  <si>
    <t xml:space="preserve">План числа случаев госпитализации на 2014 год по ТП ОМС </t>
  </si>
  <si>
    <t xml:space="preserve">Факт числа случаев госпитализации за 2014г. по данным МО   </t>
  </si>
  <si>
    <t>Факт число случаев госпитализации за 12 месяцев  по счетам из СМО</t>
  </si>
  <si>
    <t>План на 2015 год 42563 чел.</t>
  </si>
  <si>
    <t>Фактически выполнено за 9 месяцев 2015 года</t>
  </si>
  <si>
    <t>Прогноз выполнения за 2015 год</t>
  </si>
  <si>
    <t>застрахованным на территории города Байконур получивших медицинскую помощь в других субъектах Российской Федерации, оплачиваемых через ТФОМС города Байконур</t>
  </si>
  <si>
    <t>взрослых</t>
  </si>
  <si>
    <t>взросл.</t>
  </si>
  <si>
    <t xml:space="preserve">Кардиология </t>
  </si>
  <si>
    <t>Неонатология</t>
  </si>
  <si>
    <t>Травматология и ортопедия (травма.койки)</t>
  </si>
  <si>
    <t xml:space="preserve">Урология </t>
  </si>
  <si>
    <t>Нейрохирургия</t>
  </si>
  <si>
    <t>Челюстно-лицевая хирургия, стоматология</t>
  </si>
  <si>
    <t>Онкология, радиология и радиотерапия</t>
  </si>
  <si>
    <t>Акушерство и гинекология</t>
  </si>
  <si>
    <t xml:space="preserve">Неврология </t>
  </si>
  <si>
    <t xml:space="preserve">Дерматовенерология </t>
  </si>
  <si>
    <t>Акушерство и гинекология (койки для беременных и рожениц)</t>
  </si>
  <si>
    <t>Акушерство и гинекология (койки патологии беременности)</t>
  </si>
  <si>
    <t>Медицинская реабилитация</t>
  </si>
  <si>
    <t>Профиль отделений (коек)</t>
  </si>
  <si>
    <t>Кардиология</t>
  </si>
  <si>
    <t>Травматология</t>
  </si>
  <si>
    <t>Нефрология (гемодиализ)</t>
  </si>
  <si>
    <t xml:space="preserve">Онкология </t>
  </si>
  <si>
    <t>Норматив для медицинской помощи согласно Постановления Правительства РФ №___ от ______________2015г.</t>
  </si>
  <si>
    <t>Поквартальное распределение стоимости оказываемой медицинской помощи для ТФОМС города Байконур</t>
  </si>
  <si>
    <t>ФГБУЗ ЦМСЧ №1 ФМБА России</t>
  </si>
  <si>
    <t>Х</t>
  </si>
  <si>
    <t>Скорая медицинская помощь</t>
  </si>
  <si>
    <t>Виды медицинской помощи</t>
  </si>
  <si>
    <t>Амбулаторно-поликлиническая помощь</t>
  </si>
  <si>
    <t>Стационарная помощь</t>
  </si>
  <si>
    <t>Медицинская помощь в дневных стационарах всех типов</t>
  </si>
  <si>
    <t>вызовов</t>
  </si>
  <si>
    <t>обслужено лиц</t>
  </si>
  <si>
    <t>посещений   всего</t>
  </si>
  <si>
    <t>в том числе:</t>
  </si>
  <si>
    <t>койко-дней</t>
  </si>
  <si>
    <t>оказываемой в связи с заболеваниями</t>
  </si>
  <si>
    <t>с профилактической целью</t>
  </si>
  <si>
    <t>оказываемая в неотложной форме</t>
  </si>
  <si>
    <t>- скорая медицинская помощь</t>
  </si>
  <si>
    <t>-амбулаторная помощь, оказываемая в неотложной форме</t>
  </si>
  <si>
    <t>-амбулаторная помощь оказываемая с профилактической целью</t>
  </si>
  <si>
    <t>1.Скорая  медицинская помощь</t>
  </si>
  <si>
    <t>2.Амбулаторно-поликлиническая помощь</t>
  </si>
  <si>
    <t>3.Стационарная помощь</t>
  </si>
  <si>
    <t>4.Медицинская помощь в дневных стационарах всех типов</t>
  </si>
  <si>
    <t>5.Санаторная помощь</t>
  </si>
  <si>
    <t>6. Прочие виды медицинской помощи и иных услуг</t>
  </si>
  <si>
    <t xml:space="preserve">7.Высокотехнологичные виды медицинской помощи </t>
  </si>
  <si>
    <t xml:space="preserve">8. Затраты на ведение дела в системе ОМС </t>
  </si>
  <si>
    <t>Всего</t>
  </si>
  <si>
    <t>в связи с заболеваниями</t>
  </si>
  <si>
    <t>в профилактических целях</t>
  </si>
  <si>
    <t>в связи с оказанием неотложной медицинской помощи</t>
  </si>
  <si>
    <t>финансирование при обеспечении перехода на однаканальное финансирование</t>
  </si>
  <si>
    <t>ВСЕГО ОМС</t>
  </si>
  <si>
    <t>I квартал</t>
  </si>
  <si>
    <t>II квартал</t>
  </si>
  <si>
    <t>III квартал</t>
  </si>
  <si>
    <t>IV квартал</t>
  </si>
  <si>
    <t>Амбулаторная помощь</t>
  </si>
  <si>
    <t>стационарная помощь</t>
  </si>
  <si>
    <t>в дневных стационарах</t>
  </si>
  <si>
    <t xml:space="preserve">- амбулаторная помощь, оказываемая в связи с заболеваниями </t>
  </si>
  <si>
    <r>
      <t>9.</t>
    </r>
    <r>
      <rPr>
        <b/>
        <sz val="10"/>
        <rFont val="Times New Roman"/>
        <family val="1"/>
      </rPr>
      <t xml:space="preserve"> Итого </t>
    </r>
    <r>
      <rPr>
        <sz val="10"/>
        <rFont val="Times New Roman"/>
        <family val="1"/>
      </rPr>
      <t xml:space="preserve"> </t>
    </r>
  </si>
  <si>
    <t>в том числе на медицинской реабилитации</t>
  </si>
  <si>
    <t>Межтерриториальные взаиморасчеты</t>
  </si>
  <si>
    <t>в том числе реабилитация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</si>
  <si>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</si>
  <si>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</si>
  <si>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</si>
  <si>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</si>
  <si>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</si>
  <si>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</si>
  <si>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</si>
  <si>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</si>
  <si>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</si>
  <si>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10</t>
  </si>
  <si>
    <t>№ строки</t>
  </si>
  <si>
    <t>Единица измерения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</si>
  <si>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</si>
  <si>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Стоимость территориальной программы по источникам ее финансового обеспечения</t>
  </si>
  <si>
    <t>руб.</t>
  </si>
  <si>
    <t>в %
к итогу</t>
  </si>
  <si>
    <t>III. Медицинская помощь в рамках территориальной программы ОМС:</t>
  </si>
  <si>
    <t>вызов</t>
  </si>
  <si>
    <t>обращение</t>
  </si>
  <si>
    <t>к/день</t>
  </si>
  <si>
    <t>- в дневных стационарах</t>
  </si>
  <si>
    <t>Итого по ОМС:</t>
  </si>
  <si>
    <t>Всегопо ТП ОМС:</t>
  </si>
  <si>
    <t>кол - во случаев госпитализации</t>
  </si>
  <si>
    <t>2. Медицинская помощь по видам и заболеваниям сверх базовой программы:</t>
  </si>
  <si>
    <t xml:space="preserve">Финансирование </t>
  </si>
  <si>
    <t>2016 год</t>
  </si>
  <si>
    <t>случай госпитализации</t>
  </si>
  <si>
    <t>Поквартальное распределение стоимости оказываемой медицинской помощи для СМО</t>
  </si>
  <si>
    <t>Травматолог-ортопед</t>
  </si>
  <si>
    <t>посещений</t>
  </si>
  <si>
    <t>объем</t>
  </si>
  <si>
    <t>сумма, руб.</t>
  </si>
  <si>
    <t>Акушерство и гинекология (беременных, рожениц и патология беременных)</t>
  </si>
  <si>
    <t>1) -амбулаторная помощь оказываемая с профилактической целью</t>
  </si>
  <si>
    <t xml:space="preserve">2) - амбулаторная помощь, оказываемая в связи с заболеваниями </t>
  </si>
  <si>
    <t>2017 год</t>
  </si>
  <si>
    <t>Стоимость территориальной программы государственных гарантий всего (сумма строк 02 + 03)
в том числе:</t>
  </si>
  <si>
    <t>01</t>
  </si>
  <si>
    <t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</si>
  <si>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</si>
  <si>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</si>
  <si>
    <t>Утвержденная стоимость территориальной программы государственных гарантий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</si>
  <si>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</si>
  <si>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Подушевые нормативы финансирования территориальной программы</t>
  </si>
  <si>
    <t>за счет средств  бюджета субъекта РФ</t>
  </si>
  <si>
    <t>за счет средств ОМС</t>
  </si>
  <si>
    <t>за счет средств бюджета субъекта РФ</t>
  </si>
  <si>
    <t>средства ОМС</t>
  </si>
  <si>
    <t>- в амбулаторных условиях</t>
  </si>
  <si>
    <t>20</t>
  </si>
  <si>
    <t>21</t>
  </si>
  <si>
    <t>22.1</t>
  </si>
  <si>
    <t>посещение  с профилактической и иными целями</t>
  </si>
  <si>
    <t>22.2</t>
  </si>
  <si>
    <t>посещение по неотложной медицинской помощи</t>
  </si>
  <si>
    <t>22.3</t>
  </si>
  <si>
    <t>- в стационарных условиях (сумма строк 30 + 35), в том числе:</t>
  </si>
  <si>
    <t>23</t>
  </si>
  <si>
    <t xml:space="preserve">     медицинская реабилитация в стационарных условиях  
(сумма строк 30.1 + 35.1)</t>
  </si>
  <si>
    <t>23.1</t>
  </si>
  <si>
    <t xml:space="preserve">     высокотехнологичная медицинская помощь  (сумма строк 30.2 + 35.2)</t>
  </si>
  <si>
    <t>23.2</t>
  </si>
  <si>
    <t>- в дневных стационарах (сумма строк 31 + 36)</t>
  </si>
  <si>
    <t>24</t>
  </si>
  <si>
    <t xml:space="preserve">  - паллиативная медицинская помощь*** (равно строке 37)</t>
  </si>
  <si>
    <t>25</t>
  </si>
  <si>
    <t>26</t>
  </si>
  <si>
    <t>ВСЕГО по ТП ОМС</t>
  </si>
  <si>
    <t>из строки 20:
1. Медицинская помощь, предоставляемая в рамках базовой программы ОМС застрахованным лицам</t>
  </si>
  <si>
    <t>27</t>
  </si>
  <si>
    <t>28</t>
  </si>
  <si>
    <t>29.1</t>
  </si>
  <si>
    <t>29.2</t>
  </si>
  <si>
    <t>29.3</t>
  </si>
  <si>
    <t>- в стационарных условиях, в том числе</t>
  </si>
  <si>
    <t>30</t>
  </si>
  <si>
    <t xml:space="preserve">       медицинская реабилитация в стационарных условиях</t>
  </si>
  <si>
    <t>30.1</t>
  </si>
  <si>
    <t xml:space="preserve">     высокотехнологичная медицинская помощь</t>
  </si>
  <si>
    <t>30.2</t>
  </si>
  <si>
    <t>31</t>
  </si>
  <si>
    <t>32</t>
  </si>
  <si>
    <t>33</t>
  </si>
  <si>
    <t xml:space="preserve">Дневной стационар всех типов  </t>
  </si>
  <si>
    <t>пациенто-дней</t>
  </si>
  <si>
    <t>случаев госпитализации (законченный случай)</t>
  </si>
  <si>
    <t>34.1</t>
  </si>
  <si>
    <t>34.2</t>
  </si>
  <si>
    <t>34.3</t>
  </si>
  <si>
    <t>35</t>
  </si>
  <si>
    <t xml:space="preserve">     медицинская реабилитация в стационарных условиях</t>
  </si>
  <si>
    <t>35.1</t>
  </si>
  <si>
    <t>35.2</t>
  </si>
  <si>
    <t>36</t>
  </si>
  <si>
    <t xml:space="preserve">  - паллиативная медицинская помощь</t>
  </si>
  <si>
    <t>37</t>
  </si>
  <si>
    <t>ИТОГО (сумма строк 01 + 15 + 20)</t>
  </si>
  <si>
    <t>38</t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</si>
  <si>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</t>
  </si>
  <si>
    <t>- скорая медицинская помощь (сумма строк 28+33)</t>
  </si>
  <si>
    <t>проведение профилактических медицинских осмотров взрослого населения</t>
  </si>
  <si>
    <t>проведение диспансеризации отдельных групп взрослого населения</t>
  </si>
  <si>
    <t>Посещения во время приема</t>
  </si>
  <si>
    <t>ФГБУЗ "ЦМСЧ №1 ФМБА России"</t>
  </si>
  <si>
    <t>случаев лечения</t>
  </si>
  <si>
    <t>Итого:</t>
  </si>
  <si>
    <t>Норматив медицинской помощи согласно ПП РФ №</t>
  </si>
  <si>
    <t xml:space="preserve"> гражданам, застрахованным в г.Байконур и получивших медицинскую помощь в других субъектах Российской Федерации, оплачиваемых через ТФОМС </t>
  </si>
  <si>
    <t xml:space="preserve">Амбулаторная помощь </t>
  </si>
  <si>
    <t>в круглосуточном стационаре (законченных случаев)</t>
  </si>
  <si>
    <t>-  по приему посещений (диспансеризация)</t>
  </si>
  <si>
    <t>- по подушевому финансированию</t>
  </si>
  <si>
    <t>IY квартал</t>
  </si>
  <si>
    <t>Скорая медицинская помощь - вызовов</t>
  </si>
  <si>
    <t>в дневном стационаре (случай лечения)</t>
  </si>
  <si>
    <t>691</t>
  </si>
  <si>
    <t>692</t>
  </si>
  <si>
    <t>350</t>
  </si>
  <si>
    <t>ВСЕГО:</t>
  </si>
  <si>
    <t>- амбулаторная помощь, оказываемая в связи с заболеваниями (обращений)</t>
  </si>
  <si>
    <t>-амбулаторная помощь оказываемая с профилактической целью (посещений)</t>
  </si>
  <si>
    <t>-амбулаторная помощь, оказываемая в неотложной форме (посещений)</t>
  </si>
  <si>
    <t>Распределение объемов медицинской помощи по медицинским организациям на 2017 год</t>
  </si>
  <si>
    <t>Кол-во застрахованных граждан по состоянию на 01.04.2016 (данные из формы №8)</t>
  </si>
  <si>
    <t xml:space="preserve"> обращений </t>
  </si>
  <si>
    <t xml:space="preserve"> Поквартальное распределение объемов  медицинской помощи по Территориальной программе ОМС на 2017 год</t>
  </si>
  <si>
    <t>гражданам, застрахованным на территории субъекта Российской Федерации,  медицинская помощь оказанная в других субъектах РФ</t>
  </si>
  <si>
    <t xml:space="preserve">Всего по ТП ОМС </t>
  </si>
  <si>
    <t>Итого по ТП ОМС:</t>
  </si>
  <si>
    <t>Количество вызовов для ФГБУЗ ЦМСЧ №1 ФМБА России</t>
  </si>
  <si>
    <t>Итого по Программе ОМС для ФГБУЗ ЦМСЧ №1 ФМБА России</t>
  </si>
  <si>
    <t>Профилактические мероприятия</t>
  </si>
  <si>
    <t>Распределение числа посещений оказываемых с профилактической целью и неотложной помощи по специальностям на 2017 год</t>
  </si>
  <si>
    <t>Распределение числа оказываемой помощи в связи с заболеванием (обращений)  по специальностям на 2017 год</t>
  </si>
  <si>
    <t xml:space="preserve">                     Распределение числа случаев госпитализации по профилям медицинской помощи оказываемых в стационаре на 2017 год</t>
  </si>
  <si>
    <t>случаи госпитализации</t>
  </si>
  <si>
    <t>количество койко-дней</t>
  </si>
  <si>
    <t>случаи лечения</t>
  </si>
  <si>
    <t>пациенто-дни</t>
  </si>
  <si>
    <t xml:space="preserve">                     Распределение числа случаев лечения оказываемых в дневных стационарах всех типов  на 2017 год</t>
  </si>
  <si>
    <t>в том числе;</t>
  </si>
  <si>
    <t xml:space="preserve"> Распределение стоимости оказываемой медицинской помощи по Территориальной прогамме ОМС на 2017 год</t>
  </si>
  <si>
    <t>3) - амбулаторная помощь, оказываемая в неотложной форме</t>
  </si>
  <si>
    <t>Финансирование на 2017 год</t>
  </si>
  <si>
    <t xml:space="preserve"> на 2017  год</t>
  </si>
  <si>
    <t>* без учета финансовых средств консолидированного бюджета субъекта Российской Федерации на приобретение для медицинских организаций, работающих в системе ОМС (затраты, не вошедшие в тариф).</t>
  </si>
  <si>
    <t>**  указываются расходы консолидированного бюджета субъекта Российской Федерации на приобретение медицинского оборудования для медицинских  организаций, работающих в системе ОМС, сверх  ТПОМС</t>
  </si>
  <si>
    <t>- затраты на ведение дела СМО</t>
  </si>
  <si>
    <t xml:space="preserve">  Утвержденная стоимость территориальной программы государственных гарантий бесплатного оказания медицинской помощи по источникам финансового обеспечения на 2017 год</t>
  </si>
  <si>
    <t xml:space="preserve">Утвержденная стоимость территориальной программы на 2017 год </t>
  </si>
  <si>
    <t>всего
(тыс. рублей)</t>
  </si>
  <si>
    <t xml:space="preserve">на 1 жителя ( 1 застрахованное лицо) в год (руб.)
</t>
  </si>
  <si>
    <t>1. Средства консолидированного бюджета субъекта Российской Федерации *</t>
  </si>
  <si>
    <t>2. Стоимость территориальной программы всего** (сумма строк 04+08)  в том числе за счет:</t>
  </si>
  <si>
    <t>1. Стоимость  территориальной программы ОМС за счет средств ОМС   в рамках базовой программы (сумма строк 05+06 +07)                                             
в том числе:</t>
  </si>
  <si>
    <t>1.1. субвенции из бюджета ФОМС**</t>
  </si>
  <si>
    <t>2. Межбюджетные трансферты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их них:</t>
  </si>
  <si>
    <t>*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транфертов (строки 06 и 10)</t>
  </si>
  <si>
    <t>** без учета расходов на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"Общегосударственные вопросы".</t>
  </si>
  <si>
    <t xml:space="preserve">Справочно </t>
  </si>
  <si>
    <t xml:space="preserve">на 1 застрахованное лицо (руб.)
</t>
  </si>
  <si>
    <t>Расходы на обеспечение выполнения ТФОМС своих функций</t>
  </si>
  <si>
    <t>тыс. руб.</t>
  </si>
  <si>
    <t>посещение  с профилактическими и иными целями</t>
  </si>
  <si>
    <t>средняя длительность пребывания 1-го пациента в стационаре (дней)</t>
  </si>
  <si>
    <t>средняя длительность пребывания 1-го пациента в дневном стационаре (дней)</t>
  </si>
  <si>
    <t xml:space="preserve">Итого </t>
  </si>
  <si>
    <t>взрослые</t>
  </si>
  <si>
    <t>дети</t>
  </si>
  <si>
    <t>Распределение числа вызовов скорой медицинской помощи на 2017 год</t>
  </si>
  <si>
    <t>Поквартальное распределение стоимости оказываемой медицинской помощи по ТП ОМС на 2017 год</t>
  </si>
  <si>
    <t>Норматив медицинской помощи согласно рекомендаций ФОМС</t>
  </si>
  <si>
    <t>2полугодие</t>
  </si>
  <si>
    <t>УЕТ</t>
  </si>
  <si>
    <t xml:space="preserve">Уменьшено посещений на </t>
  </si>
  <si>
    <t>уменьшено на 464 случая госпитализации</t>
  </si>
  <si>
    <t>Уменьшено на 93 случая лечения</t>
  </si>
  <si>
    <t>норматив, руб.</t>
  </si>
  <si>
    <t>Базовая ставка подушевого финансового обеспечения скорой медицинской помощи на 2017 год составляет -    643,73 рубля в год на 1-го человека.</t>
  </si>
  <si>
    <t>- по посещениям (диспансеризация)</t>
  </si>
  <si>
    <t>- посещения во время приема ( подушевое финансирование)</t>
  </si>
  <si>
    <t>- по посещениям  (услуга по стоматологии)</t>
  </si>
  <si>
    <t>- по обращениям (услуга по стоматологии)</t>
  </si>
  <si>
    <t>Базовая ставка подушевого финансового обеспечения амбулаторно-поликлинической помощи на 2017 год составляет -  2530,22 рублей в год на 1-го человека.</t>
  </si>
  <si>
    <t xml:space="preserve">ФГБУЗ ЦМСЧ №1 ФМБА России, оказание медицинской помощи гражданам, застрахованным на территории города Байконур, оплачиваемые через Байконурский филиал "ООО ВТБ МС" </t>
  </si>
  <si>
    <t xml:space="preserve">ФГБУЗ ЦМСЧ №1 ФМБА России, оказываемая помощь гражданам, застрахованным на территории города Байконур, оплачиваемые через Байконурский филиал "ООО ВТБ МС" </t>
  </si>
  <si>
    <t xml:space="preserve">гражданам, застрахованным на территории города Байконур, оплачиваемые через Байконурский филиал "ООО ВТБ МС"  </t>
  </si>
  <si>
    <t xml:space="preserve"> </t>
  </si>
  <si>
    <t>Приложение 1
 к протоколу № 09  от " 27 " июля  2017 г. 
заседания комиссии по разработке территориальной программы обязательного медицинского страхования</t>
  </si>
  <si>
    <t>Приложение 2
 к протоколу № 09 от " 27 " июля  2017 г. 
заседания комиссии по разработке территориальной программы обязательного медицинского страхования</t>
  </si>
  <si>
    <t>Приложение 2.1                                                                                          к протоколу №  09 от " 27 " июля 2017г.  заседания комиссии по разработке территориальной программы обязательного медицинского страхования</t>
  </si>
  <si>
    <t>Приложение 2.2                                                                  к протоколу № 09  от " 27 " июля 2017г.  заседания комиссии по разработке территориальной программы обязательного медицинского страхования</t>
  </si>
  <si>
    <t>Приложение 2.3                                                                                         к протоколу № 09 от " 27 " июля  2017г.  заседания комиссии по разработке территориальной программы обязательного медицинского страхования</t>
  </si>
  <si>
    <t>Приложение 2.4                                                                                                               к протоколу № 09 от " 27 " июля  2017г. заседания комиссии по разработке территориальной программы обязательного медицинского страхования</t>
  </si>
  <si>
    <t>Приложение 2.5                                                                            к протоколу № 09 от " 27 " июля  2017г. заседания комиссии по разработке территориальной программы обязательного медицинского страхования</t>
  </si>
  <si>
    <t>Приложение 3
 к протоколу № 09  от " 27 " июля  2017 г.
заседания комиссии по разработке территориальной программы обязательного медицинского страхования</t>
  </si>
  <si>
    <t xml:space="preserve"> к протоколу № 09 от " 27 "  июля  2017 г.                заседания комиссии по разработке территориальной программы обязательного медицинского страховани</t>
  </si>
  <si>
    <t>Приложение 4                                                                                                                          к протоколу № 09 от " 27 " июля 2017г.                                                заседания комиссии по разработке территориальной программы обязательного медицинского страхования</t>
  </si>
  <si>
    <t>Приложение 5</t>
  </si>
  <si>
    <t>Приложение 6                                                                                                  к протоколу № 09  от " 27 " июля 2017г. заседания комиссии по разработке территориальной программы обязательного медицинского страхования</t>
  </si>
  <si>
    <t>Приложение 7
 к протоколу № 09 от " 27 " июля  2017 г.
заседания комиссии по разработке территориальной программы обязательного медицинского страховани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</si>
</sst>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_р_."/>
    <numFmt numFmtId="167" formatCode="#,##0.00000"/>
    <numFmt numFmtId="168" formatCode="#,##0.000000"/>
    <numFmt numFmtId="169" formatCode="0.0000000"/>
    <numFmt numFmtId="170" formatCode="0.0000"/>
    <numFmt numFmtId="171" formatCode="0.000"/>
    <numFmt numFmtId="172" formatCode="0.00000"/>
    <numFmt numFmtId="173" formatCode="0.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20">
    <xf numFmtId="0" fontId="0" fillId="0" borderId="0" xfId="0" applyFont="1" applyAlignment="1">
      <alignment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2" fillId="0" borderId="0" xfId="54" applyFont="1" applyFill="1" applyAlignment="1">
      <alignment horizontal="left" vertical="center"/>
      <protection/>
    </xf>
    <xf numFmtId="0" fontId="3" fillId="0" borderId="0" xfId="54" applyFont="1" applyFill="1" applyAlignment="1">
      <alignment horizontal="left" vertical="center"/>
      <protection/>
    </xf>
    <xf numFmtId="3" fontId="3" fillId="0" borderId="0" xfId="0" applyNumberFormat="1" applyFont="1" applyFill="1" applyAlignment="1">
      <alignment vertical="justify"/>
    </xf>
    <xf numFmtId="4" fontId="3" fillId="0" borderId="0" xfId="0" applyNumberFormat="1" applyFont="1" applyFill="1" applyAlignment="1">
      <alignment vertical="justify"/>
    </xf>
    <xf numFmtId="164" fontId="3" fillId="0" borderId="0" xfId="0" applyNumberFormat="1" applyFont="1" applyFill="1" applyAlignment="1">
      <alignment vertical="justify"/>
    </xf>
    <xf numFmtId="1" fontId="3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4" fontId="3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justify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justify"/>
    </xf>
    <xf numFmtId="4" fontId="2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vertical="justify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3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3" fillId="0" borderId="13" xfId="54" applyNumberFormat="1" applyFont="1" applyFill="1" applyBorder="1" applyAlignment="1">
      <alignment horizontal="center" vertical="center"/>
      <protection/>
    </xf>
    <xf numFmtId="165" fontId="3" fillId="0" borderId="13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3" fontId="9" fillId="0" borderId="0" xfId="0" applyNumberFormat="1" applyFont="1" applyFill="1" applyAlignment="1">
      <alignment/>
    </xf>
    <xf numFmtId="0" fontId="3" fillId="0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 vertical="center"/>
      <protection/>
    </xf>
    <xf numFmtId="0" fontId="3" fillId="0" borderId="0" xfId="54" applyFont="1" applyFill="1" applyBorder="1" applyAlignment="1">
      <alignment vertical="center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49" fontId="3" fillId="0" borderId="13" xfId="54" applyNumberFormat="1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0" xfId="54" applyNumberFormat="1" applyFont="1" applyFill="1" applyBorder="1" applyAlignment="1">
      <alignment horizontal="center" vertical="top"/>
      <protection/>
    </xf>
    <xf numFmtId="49" fontId="2" fillId="0" borderId="13" xfId="54" applyNumberFormat="1" applyFont="1" applyFill="1" applyBorder="1" applyAlignment="1">
      <alignment vertical="center"/>
      <protection/>
    </xf>
    <xf numFmtId="49" fontId="3" fillId="0" borderId="13" xfId="54" applyNumberFormat="1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vertical="center"/>
      <protection/>
    </xf>
    <xf numFmtId="4" fontId="3" fillId="0" borderId="13" xfId="54" applyNumberFormat="1" applyFont="1" applyFill="1" applyBorder="1" applyAlignment="1">
      <alignment vertical="center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4" fontId="3" fillId="0" borderId="13" xfId="60" applyNumberFormat="1" applyFont="1" applyFill="1" applyBorder="1" applyAlignment="1">
      <alignment vertical="center" wrapText="1"/>
      <protection/>
    </xf>
    <xf numFmtId="165" fontId="3" fillId="0" borderId="13" xfId="54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justify"/>
    </xf>
    <xf numFmtId="4" fontId="2" fillId="0" borderId="10" xfId="0" applyNumberFormat="1" applyFont="1" applyFill="1" applyBorder="1" applyAlignment="1">
      <alignment vertical="justify"/>
    </xf>
    <xf numFmtId="4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6" fontId="18" fillId="0" borderId="15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49" fontId="18" fillId="0" borderId="17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49" fontId="19" fillId="0" borderId="17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vertical="justify"/>
    </xf>
    <xf numFmtId="4" fontId="10" fillId="0" borderId="0" xfId="0" applyNumberFormat="1" applyFont="1" applyFill="1" applyAlignment="1">
      <alignment vertical="justify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3" fontId="18" fillId="0" borderId="36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9" fillId="0" borderId="33" xfId="0" applyFont="1" applyFill="1" applyBorder="1" applyAlignment="1">
      <alignment horizontal="center" wrapText="1"/>
    </xf>
    <xf numFmtId="166" fontId="18" fillId="0" borderId="0" xfId="0" applyNumberFormat="1" applyFont="1" applyFill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166" fontId="18" fillId="0" borderId="27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166" fontId="18" fillId="0" borderId="38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 horizontal="center"/>
    </xf>
    <xf numFmtId="166" fontId="19" fillId="0" borderId="36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2" fontId="18" fillId="0" borderId="39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justify" indent="1"/>
    </xf>
    <xf numFmtId="0" fontId="11" fillId="0" borderId="42" xfId="0" applyFont="1" applyFill="1" applyBorder="1" applyAlignment="1">
      <alignment vertical="justify"/>
    </xf>
    <xf numFmtId="0" fontId="11" fillId="0" borderId="42" xfId="0" applyFont="1" applyFill="1" applyBorder="1" applyAlignment="1">
      <alignment horizontal="center" vertical="justify"/>
    </xf>
    <xf numFmtId="0" fontId="11" fillId="0" borderId="26" xfId="0" applyFont="1" applyFill="1" applyBorder="1" applyAlignment="1">
      <alignment horizontal="center" vertical="justify"/>
    </xf>
    <xf numFmtId="0" fontId="11" fillId="0" borderId="26" xfId="0" applyFont="1" applyFill="1" applyBorder="1" applyAlignment="1">
      <alignment vertical="justify"/>
    </xf>
    <xf numFmtId="0" fontId="7" fillId="0" borderId="21" xfId="0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4" fontId="11" fillId="0" borderId="39" xfId="0" applyNumberFormat="1" applyFont="1" applyFill="1" applyBorder="1" applyAlignment="1">
      <alignment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171" fontId="3" fillId="0" borderId="0" xfId="54" applyNumberFormat="1" applyFont="1" applyFill="1" applyAlignment="1">
      <alignment horizontal="left"/>
      <protection/>
    </xf>
    <xf numFmtId="171" fontId="2" fillId="0" borderId="13" xfId="54" applyNumberFormat="1" applyFont="1" applyFill="1" applyBorder="1" applyAlignment="1">
      <alignment vertical="center" wrapText="1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4" fontId="9" fillId="0" borderId="3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 horizontal="center"/>
    </xf>
    <xf numFmtId="4" fontId="9" fillId="0" borderId="4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justify" wrapText="1"/>
    </xf>
    <xf numFmtId="0" fontId="13" fillId="0" borderId="0" xfId="54" applyNumberFormat="1" applyFont="1" applyBorder="1" applyAlignment="1">
      <alignment vertical="center" wrapTex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1" fillId="0" borderId="0" xfId="54" applyFont="1" applyBorder="1" applyAlignment="1">
      <alignment vertical="center"/>
      <protection/>
    </xf>
    <xf numFmtId="0" fontId="14" fillId="0" borderId="0" xfId="54" applyNumberFormat="1" applyFont="1" applyBorder="1" applyAlignment="1">
      <alignment vertical="top" wrapText="1"/>
      <protection/>
    </xf>
    <xf numFmtId="0" fontId="2" fillId="0" borderId="45" xfId="54" applyFont="1" applyBorder="1" applyAlignment="1">
      <alignment wrapText="1"/>
      <protection/>
    </xf>
    <xf numFmtId="0" fontId="16" fillId="0" borderId="45" xfId="54" applyFont="1" applyBorder="1" applyAlignment="1">
      <alignment wrapText="1"/>
      <protection/>
    </xf>
    <xf numFmtId="0" fontId="16" fillId="0" borderId="45" xfId="54" applyFont="1" applyFill="1" applyBorder="1" applyAlignment="1">
      <alignment wrapText="1"/>
      <protection/>
    </xf>
    <xf numFmtId="0" fontId="3" fillId="0" borderId="45" xfId="54" applyFont="1" applyFill="1" applyBorder="1" applyAlignment="1">
      <alignment vertical="center" wrapText="1"/>
      <protection/>
    </xf>
    <xf numFmtId="0" fontId="3" fillId="0" borderId="45" xfId="54" applyFont="1" applyBorder="1" applyAlignment="1">
      <alignment wrapText="1"/>
      <protection/>
    </xf>
    <xf numFmtId="49" fontId="3" fillId="0" borderId="13" xfId="54" applyNumberFormat="1" applyFont="1" applyBorder="1" applyAlignment="1">
      <alignment horizontal="center" vertical="top"/>
      <protection/>
    </xf>
    <xf numFmtId="4" fontId="13" fillId="0" borderId="10" xfId="60" applyNumberFormat="1" applyFont="1" applyBorder="1" applyAlignment="1">
      <alignment/>
      <protection/>
    </xf>
    <xf numFmtId="2" fontId="10" fillId="0" borderId="10" xfId="60" applyNumberFormat="1" applyFont="1" applyFill="1" applyBorder="1" applyAlignment="1">
      <alignment wrapText="1"/>
      <protection/>
    </xf>
    <xf numFmtId="0" fontId="13" fillId="0" borderId="10" xfId="54" applyFont="1" applyBorder="1" applyAlignment="1">
      <alignment wrapText="1"/>
      <protection/>
    </xf>
    <xf numFmtId="4" fontId="13" fillId="0" borderId="10" xfId="54" applyNumberFormat="1" applyFont="1" applyBorder="1" applyAlignment="1">
      <alignment wrapText="1"/>
      <protection/>
    </xf>
    <xf numFmtId="4" fontId="22" fillId="0" borderId="10" xfId="54" applyNumberFormat="1" applyFont="1" applyBorder="1" applyAlignment="1">
      <alignment wrapText="1"/>
      <protection/>
    </xf>
    <xf numFmtId="2" fontId="22" fillId="0" borderId="10" xfId="54" applyNumberFormat="1" applyFont="1" applyBorder="1" applyAlignment="1">
      <alignment wrapText="1"/>
      <protection/>
    </xf>
    <xf numFmtId="2" fontId="22" fillId="0" borderId="10" xfId="54" applyNumberFormat="1" applyFont="1" applyFill="1" applyBorder="1" applyAlignment="1">
      <alignment wrapText="1"/>
      <protection/>
    </xf>
    <xf numFmtId="2" fontId="10" fillId="0" borderId="10" xfId="54" applyNumberFormat="1" applyFont="1" applyFill="1" applyBorder="1" applyAlignment="1">
      <alignment vertical="center" wrapText="1"/>
      <protection/>
    </xf>
    <xf numFmtId="165" fontId="3" fillId="0" borderId="0" xfId="54" applyNumberFormat="1" applyFont="1" applyBorder="1" applyAlignment="1">
      <alignment vertical="top"/>
      <protection/>
    </xf>
    <xf numFmtId="0" fontId="2" fillId="0" borderId="0" xfId="54" applyFont="1" applyBorder="1" applyAlignment="1">
      <alignment wrapText="1"/>
      <protection/>
    </xf>
    <xf numFmtId="0" fontId="15" fillId="0" borderId="0" xfId="60" applyFont="1" applyBorder="1" applyAlignment="1">
      <alignment/>
      <protection/>
    </xf>
    <xf numFmtId="0" fontId="16" fillId="0" borderId="0" xfId="54" applyFont="1" applyBorder="1" applyAlignment="1">
      <alignment wrapText="1"/>
      <protection/>
    </xf>
    <xf numFmtId="0" fontId="16" fillId="0" borderId="0" xfId="54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0" fontId="3" fillId="0" borderId="0" xfId="54" applyFont="1" applyFill="1" applyBorder="1" applyAlignment="1">
      <alignment vertical="center" wrapText="1"/>
      <protection/>
    </xf>
    <xf numFmtId="49" fontId="3" fillId="0" borderId="33" xfId="54" applyNumberFormat="1" applyFont="1" applyBorder="1" applyAlignment="1">
      <alignment horizontal="center" vertical="top"/>
      <protection/>
    </xf>
    <xf numFmtId="2" fontId="10" fillId="0" borderId="26" xfId="54" applyNumberFormat="1" applyFont="1" applyFill="1" applyBorder="1" applyAlignment="1">
      <alignment vertical="center" wrapText="1"/>
      <protection/>
    </xf>
    <xf numFmtId="0" fontId="2" fillId="0" borderId="46" xfId="54" applyFont="1" applyBorder="1" applyAlignment="1">
      <alignment horizontal="left" wrapText="1"/>
      <protection/>
    </xf>
    <xf numFmtId="49" fontId="3" fillId="0" borderId="31" xfId="54" applyNumberFormat="1" applyFont="1" applyBorder="1" applyAlignment="1">
      <alignment horizontal="center" vertical="top"/>
      <protection/>
    </xf>
    <xf numFmtId="4" fontId="13" fillId="0" borderId="30" xfId="54" applyNumberFormat="1" applyFont="1" applyBorder="1" applyAlignment="1">
      <alignment vertical="top"/>
      <protection/>
    </xf>
    <xf numFmtId="0" fontId="13" fillId="0" borderId="21" xfId="54" applyNumberFormat="1" applyFont="1" applyBorder="1" applyAlignment="1">
      <alignment horizontal="center" vertical="center" wrapText="1"/>
      <protection/>
    </xf>
    <xf numFmtId="0" fontId="2" fillId="0" borderId="47" xfId="54" applyNumberFormat="1" applyFont="1" applyBorder="1" applyAlignment="1">
      <alignment horizontal="center" vertical="center" wrapText="1"/>
      <protection/>
    </xf>
    <xf numFmtId="0" fontId="2" fillId="0" borderId="24" xfId="54" applyNumberFormat="1" applyFont="1" applyBorder="1" applyAlignment="1">
      <alignment horizontal="center" vertical="center" wrapText="1"/>
      <protection/>
    </xf>
    <xf numFmtId="171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" fontId="26" fillId="0" borderId="21" xfId="0" applyNumberFormat="1" applyFont="1" applyFill="1" applyBorder="1" applyAlignment="1">
      <alignment horizontal="center" wrapText="1"/>
    </xf>
    <xf numFmtId="1" fontId="26" fillId="0" borderId="23" xfId="0" applyNumberFormat="1" applyFont="1" applyFill="1" applyBorder="1" applyAlignment="1">
      <alignment horizontal="center" wrapText="1"/>
    </xf>
    <xf numFmtId="1" fontId="26" fillId="0" borderId="47" xfId="0" applyNumberFormat="1" applyFont="1" applyFill="1" applyBorder="1" applyAlignment="1">
      <alignment horizontal="center" wrapText="1"/>
    </xf>
    <xf numFmtId="1" fontId="26" fillId="0" borderId="24" xfId="0" applyNumberFormat="1" applyFont="1" applyFill="1" applyBorder="1" applyAlignment="1">
      <alignment horizont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3" fillId="0" borderId="50" xfId="0" applyNumberFormat="1" applyFont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wrapText="1"/>
    </xf>
    <xf numFmtId="0" fontId="13" fillId="34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1" fontId="7" fillId="0" borderId="26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51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justify" wrapText="1"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34" borderId="5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 wrapText="1"/>
    </xf>
    <xf numFmtId="0" fontId="27" fillId="34" borderId="3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7" fillId="34" borderId="41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36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9" fillId="34" borderId="29" xfId="0" applyFont="1" applyFill="1" applyBorder="1" applyAlignment="1">
      <alignment horizontal="left" vertical="center" wrapText="1"/>
    </xf>
    <xf numFmtId="1" fontId="29" fillId="34" borderId="30" xfId="0" applyNumberFormat="1" applyFont="1" applyFill="1" applyBorder="1" applyAlignment="1" applyProtection="1">
      <alignment horizontal="center" vertical="center" wrapText="1"/>
      <protection/>
    </xf>
    <xf numFmtId="1" fontId="7" fillId="35" borderId="22" xfId="0" applyNumberFormat="1" applyFont="1" applyFill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74" fontId="7" fillId="36" borderId="39" xfId="0" applyNumberFormat="1" applyFont="1" applyFill="1" applyBorder="1" applyAlignment="1">
      <alignment horizontal="center"/>
    </xf>
    <xf numFmtId="174" fontId="11" fillId="0" borderId="30" xfId="0" applyNumberFormat="1" applyFont="1" applyBorder="1" applyAlignment="1">
      <alignment horizontal="center"/>
    </xf>
    <xf numFmtId="174" fontId="11" fillId="0" borderId="31" xfId="0" applyNumberFormat="1" applyFont="1" applyBorder="1" applyAlignment="1">
      <alignment horizontal="center"/>
    </xf>
    <xf numFmtId="1" fontId="27" fillId="35" borderId="22" xfId="0" applyNumberFormat="1" applyFont="1" applyFill="1" applyBorder="1" applyAlignment="1" applyProtection="1">
      <alignment horizontal="center" vertical="center" wrapText="1"/>
      <protection/>
    </xf>
    <xf numFmtId="1" fontId="29" fillId="34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11" fillId="0" borderId="46" xfId="0" applyNumberFormat="1" applyFont="1" applyBorder="1" applyAlignment="1">
      <alignment horizontal="center"/>
    </xf>
    <xf numFmtId="0" fontId="29" fillId="34" borderId="17" xfId="0" applyFont="1" applyFill="1" applyBorder="1" applyAlignment="1">
      <alignment horizontal="left" vertical="center" wrapText="1"/>
    </xf>
    <xf numFmtId="1" fontId="29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4" xfId="0" applyNumberFormat="1" applyFont="1" applyFill="1" applyBorder="1" applyAlignment="1">
      <alignment horizontal="center"/>
    </xf>
    <xf numFmtId="174" fontId="7" fillId="36" borderId="12" xfId="0" applyNumberFormat="1" applyFont="1" applyFill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4" fontId="11" fillId="0" borderId="13" xfId="0" applyNumberFormat="1" applyFont="1" applyBorder="1" applyAlignment="1">
      <alignment horizontal="center"/>
    </xf>
    <xf numFmtId="1" fontId="27" fillId="35" borderId="14" xfId="0" applyNumberFormat="1" applyFont="1" applyFill="1" applyBorder="1" applyAlignment="1" applyProtection="1">
      <alignment horizontal="center" vertical="center" wrapText="1"/>
      <protection/>
    </xf>
    <xf numFmtId="1" fontId="29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1" fillId="0" borderId="45" xfId="0" applyNumberFormat="1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74" fontId="7" fillId="36" borderId="12" xfId="0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0" fontId="29" fillId="34" borderId="54" xfId="0" applyFont="1" applyFill="1" applyBorder="1" applyAlignment="1">
      <alignment horizontal="left" vertical="center" wrapText="1"/>
    </xf>
    <xf numFmtId="1" fontId="29" fillId="34" borderId="41" xfId="0" applyNumberFormat="1" applyFont="1" applyFill="1" applyBorder="1" applyAlignment="1" applyProtection="1">
      <alignment horizontal="center" vertical="center" wrapText="1"/>
      <protection/>
    </xf>
    <xf numFmtId="1" fontId="7" fillId="35" borderId="16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74" fontId="7" fillId="36" borderId="50" xfId="0" applyNumberFormat="1" applyFont="1" applyFill="1" applyBorder="1" applyAlignment="1">
      <alignment horizontal="center" vertical="center"/>
    </xf>
    <xf numFmtId="174" fontId="11" fillId="0" borderId="41" xfId="0" applyNumberFormat="1" applyFont="1" applyBorder="1" applyAlignment="1">
      <alignment horizontal="center" vertical="center"/>
    </xf>
    <xf numFmtId="174" fontId="11" fillId="0" borderId="51" xfId="0" applyNumberFormat="1" applyFont="1" applyBorder="1" applyAlignment="1">
      <alignment horizontal="center" vertical="center"/>
    </xf>
    <xf numFmtId="1" fontId="27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5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7" fillId="35" borderId="41" xfId="0" applyNumberFormat="1" applyFont="1" applyFill="1" applyBorder="1" applyAlignment="1">
      <alignment horizontal="center" vertical="center"/>
    </xf>
    <xf numFmtId="174" fontId="7" fillId="36" borderId="41" xfId="0" applyNumberFormat="1" applyFont="1" applyFill="1" applyBorder="1" applyAlignment="1">
      <alignment horizontal="center" vertical="center"/>
    </xf>
    <xf numFmtId="1" fontId="27" fillId="35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/>
    </xf>
    <xf numFmtId="0" fontId="27" fillId="34" borderId="56" xfId="0" applyFont="1" applyFill="1" applyBorder="1" applyAlignment="1">
      <alignment horizontal="left" vertical="center" wrapText="1"/>
    </xf>
    <xf numFmtId="1" fontId="27" fillId="34" borderId="57" xfId="0" applyNumberFormat="1" applyFont="1" applyFill="1" applyBorder="1" applyAlignment="1" applyProtection="1">
      <alignment horizontal="center" vertical="center" wrapText="1"/>
      <protection/>
    </xf>
    <xf numFmtId="1" fontId="7" fillId="35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74" fontId="7" fillId="36" borderId="59" xfId="0" applyNumberFormat="1" applyFont="1" applyFill="1" applyBorder="1" applyAlignment="1">
      <alignment horizontal="center" vertical="center"/>
    </xf>
    <xf numFmtId="174" fontId="7" fillId="0" borderId="57" xfId="0" applyNumberFormat="1" applyFont="1" applyBorder="1" applyAlignment="1">
      <alignment horizontal="center" vertical="center"/>
    </xf>
    <xf numFmtId="174" fontId="7" fillId="0" borderId="60" xfId="0" applyNumberFormat="1" applyFont="1" applyBorder="1" applyAlignment="1">
      <alignment horizontal="center" vertical="center"/>
    </xf>
    <xf numFmtId="1" fontId="27" fillId="35" borderId="56" xfId="0" applyNumberFormat="1" applyFont="1" applyFill="1" applyBorder="1" applyAlignment="1" applyProtection="1">
      <alignment horizontal="center" vertical="center" wrapText="1"/>
      <protection/>
    </xf>
    <xf numFmtId="1" fontId="27" fillId="34" borderId="58" xfId="0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35" borderId="57" xfId="0" applyNumberFormat="1" applyFont="1" applyFill="1" applyBorder="1" applyAlignment="1">
      <alignment horizontal="center" vertical="center"/>
    </xf>
    <xf numFmtId="174" fontId="7" fillId="36" borderId="57" xfId="0" applyNumberFormat="1" applyFont="1" applyFill="1" applyBorder="1" applyAlignment="1">
      <alignment horizontal="center" vertical="center"/>
    </xf>
    <xf numFmtId="1" fontId="27" fillId="35" borderId="5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34" borderId="21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47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left" wrapText="1"/>
    </xf>
    <xf numFmtId="0" fontId="13" fillId="34" borderId="3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3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1" fillId="34" borderId="54" xfId="0" applyFont="1" applyFill="1" applyBorder="1" applyAlignment="1">
      <alignment wrapText="1"/>
    </xf>
    <xf numFmtId="1" fontId="10" fillId="0" borderId="62" xfId="0" applyNumberFormat="1" applyFont="1" applyBorder="1" applyAlignment="1">
      <alignment horizontal="center"/>
    </xf>
    <xf numFmtId="0" fontId="11" fillId="34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170" fontId="10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1" fontId="7" fillId="3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74" fontId="7" fillId="36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1" fontId="27" fillId="35" borderId="0" xfId="0" applyNumberFormat="1" applyFont="1" applyFill="1" applyBorder="1" applyAlignment="1" applyProtection="1">
      <alignment horizontal="center" vertical="center" wrapText="1"/>
      <protection/>
    </xf>
    <xf numFmtId="1" fontId="2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27" fillId="34" borderId="0" xfId="0" applyFont="1" applyFill="1" applyBorder="1" applyAlignment="1" applyProtection="1">
      <alignment vertical="center" wrapText="1"/>
      <protection locked="0"/>
    </xf>
    <xf numFmtId="3" fontId="19" fillId="0" borderId="63" xfId="0" applyNumberFormat="1" applyFont="1" applyFill="1" applyBorder="1" applyAlignment="1">
      <alignment horizontal="center"/>
    </xf>
    <xf numFmtId="3" fontId="19" fillId="0" borderId="64" xfId="0" applyNumberFormat="1" applyFont="1" applyFill="1" applyBorder="1" applyAlignment="1">
      <alignment horizontal="center"/>
    </xf>
    <xf numFmtId="3" fontId="19" fillId="0" borderId="65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18" fillId="0" borderId="68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7" fillId="0" borderId="69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wrapText="1"/>
    </xf>
    <xf numFmtId="1" fontId="7" fillId="0" borderId="70" xfId="0" applyNumberFormat="1" applyFont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 wrapText="1"/>
    </xf>
    <xf numFmtId="1" fontId="10" fillId="35" borderId="22" xfId="0" applyNumberFormat="1" applyFont="1" applyFill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1" fontId="10" fillId="35" borderId="14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justify" wrapText="1"/>
    </xf>
    <xf numFmtId="0" fontId="10" fillId="0" borderId="54" xfId="0" applyFont="1" applyFill="1" applyBorder="1" applyAlignment="1">
      <alignment horizontal="left" vertical="center" wrapText="1"/>
    </xf>
    <xf numFmtId="1" fontId="10" fillId="35" borderId="16" xfId="0" applyNumberFormat="1" applyFont="1" applyFill="1" applyBorder="1" applyAlignment="1">
      <alignment horizontal="center"/>
    </xf>
    <xf numFmtId="1" fontId="13" fillId="0" borderId="71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1" fontId="11" fillId="0" borderId="51" xfId="0" applyNumberFormat="1" applyFont="1" applyFill="1" applyBorder="1" applyAlignment="1">
      <alignment horizontal="center"/>
    </xf>
    <xf numFmtId="1" fontId="11" fillId="0" borderId="71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9" fontId="2" fillId="0" borderId="10" xfId="54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9" fontId="3" fillId="0" borderId="10" xfId="54" applyNumberFormat="1" applyFont="1" applyFill="1" applyBorder="1" applyAlignment="1">
      <alignment horizontal="center" vertical="center"/>
      <protection/>
    </xf>
    <xf numFmtId="0" fontId="9" fillId="0" borderId="7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17" xfId="0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/>
    </xf>
    <xf numFmtId="166" fontId="19" fillId="0" borderId="7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0" fontId="19" fillId="0" borderId="74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1" fontId="19" fillId="0" borderId="20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" fontId="19" fillId="0" borderId="38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1" fontId="7" fillId="0" borderId="34" xfId="0" applyNumberFormat="1" applyFont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11" fillId="0" borderId="66" xfId="0" applyFont="1" applyFill="1" applyBorder="1" applyAlignment="1">
      <alignment horizontal="center" wrapText="1"/>
    </xf>
    <xf numFmtId="1" fontId="11" fillId="0" borderId="26" xfId="0" applyNumberFormat="1" applyFont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1" fontId="7" fillId="0" borderId="24" xfId="0" applyNumberFormat="1" applyFont="1" applyFill="1" applyBorder="1" applyAlignment="1">
      <alignment horizontal="center" wrapText="1"/>
    </xf>
    <xf numFmtId="1" fontId="7" fillId="0" borderId="43" xfId="0" applyNumberFormat="1" applyFont="1" applyFill="1" applyBorder="1" applyAlignment="1">
      <alignment horizontal="center" wrapText="1"/>
    </xf>
    <xf numFmtId="1" fontId="7" fillId="0" borderId="44" xfId="0" applyNumberFormat="1" applyFont="1" applyFill="1" applyBorder="1" applyAlignment="1">
      <alignment horizontal="center" wrapText="1"/>
    </xf>
    <xf numFmtId="0" fontId="11" fillId="0" borderId="46" xfId="0" applyFont="1" applyFill="1" applyBorder="1" applyAlignment="1">
      <alignment wrapText="1"/>
    </xf>
    <xf numFmtId="1" fontId="7" fillId="0" borderId="22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11" fillId="0" borderId="75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wrapText="1"/>
    </xf>
    <xf numFmtId="1" fontId="7" fillId="0" borderId="14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wrapText="1"/>
    </xf>
    <xf numFmtId="1" fontId="11" fillId="0" borderId="55" xfId="0" applyNumberFormat="1" applyFont="1" applyFill="1" applyBorder="1" applyAlignment="1">
      <alignment horizontal="center"/>
    </xf>
    <xf numFmtId="1" fontId="11" fillId="0" borderId="76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wrapText="1"/>
    </xf>
    <xf numFmtId="1" fontId="7" fillId="0" borderId="16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1" fontId="11" fillId="0" borderId="77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1" fontId="11" fillId="0" borderId="23" xfId="0" applyNumberFormat="1" applyFont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11" fillId="0" borderId="66" xfId="0" applyFont="1" applyFill="1" applyBorder="1" applyAlignment="1">
      <alignment wrapText="1"/>
    </xf>
    <xf numFmtId="1" fontId="7" fillId="0" borderId="66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68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vertical="center" wrapText="1"/>
    </xf>
    <xf numFmtId="1" fontId="7" fillId="0" borderId="20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69" xfId="0" applyFont="1" applyBorder="1" applyAlignment="1">
      <alignment horizontal="left" wrapText="1"/>
    </xf>
    <xf numFmtId="0" fontId="28" fillId="0" borderId="21" xfId="0" applyFont="1" applyBorder="1" applyAlignment="1">
      <alignment horizontal="center"/>
    </xf>
    <xf numFmtId="0" fontId="27" fillId="34" borderId="7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3" fillId="34" borderId="74" xfId="0" applyFont="1" applyFill="1" applyBorder="1" applyAlignment="1">
      <alignment horizontal="center" wrapText="1"/>
    </xf>
    <xf numFmtId="0" fontId="13" fillId="34" borderId="46" xfId="0" applyFont="1" applyFill="1" applyBorder="1" applyAlignment="1">
      <alignment horizontal="center" wrapText="1"/>
    </xf>
    <xf numFmtId="0" fontId="13" fillId="34" borderId="78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29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wrapText="1"/>
    </xf>
    <xf numFmtId="0" fontId="2" fillId="0" borderId="25" xfId="54" applyNumberFormat="1" applyFont="1" applyBorder="1" applyAlignment="1">
      <alignment horizontal="center" vertical="top" wrapText="1"/>
      <protection/>
    </xf>
    <xf numFmtId="0" fontId="16" fillId="0" borderId="45" xfId="54" applyFont="1" applyFill="1" applyBorder="1" applyAlignment="1">
      <alignment vertical="center" wrapText="1"/>
      <protection/>
    </xf>
    <xf numFmtId="0" fontId="16" fillId="0" borderId="37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top" wrapText="1"/>
      <protection/>
    </xf>
    <xf numFmtId="0" fontId="3" fillId="0" borderId="0" xfId="54" applyFont="1" applyFill="1" applyAlignment="1">
      <alignment wrapText="1"/>
      <protection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49" fontId="3" fillId="0" borderId="41" xfId="54" applyNumberFormat="1" applyFont="1" applyFill="1" applyBorder="1" applyAlignment="1">
      <alignment vertical="center" wrapText="1"/>
      <protection/>
    </xf>
    <xf numFmtId="49" fontId="3" fillId="0" borderId="48" xfId="54" applyNumberFormat="1" applyFont="1" applyFill="1" applyBorder="1" applyAlignment="1">
      <alignment vertical="center" wrapText="1"/>
      <protection/>
    </xf>
    <xf numFmtId="49" fontId="3" fillId="0" borderId="30" xfId="54" applyNumberFormat="1" applyFont="1" applyFill="1" applyBorder="1" applyAlignment="1">
      <alignment vertical="center" wrapText="1"/>
      <protection/>
    </xf>
    <xf numFmtId="0" fontId="3" fillId="0" borderId="0" xfId="54" applyFont="1" applyFill="1" applyAlignment="1">
      <alignment horizont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3" fillId="0" borderId="13" xfId="54" applyNumberFormat="1" applyFont="1" applyFill="1" applyBorder="1" applyAlignment="1">
      <alignment horizontal="center" vertical="center"/>
      <protection/>
    </xf>
    <xf numFmtId="1" fontId="10" fillId="6" borderId="0" xfId="0" applyNumberFormat="1" applyFont="1" applyFill="1" applyAlignment="1">
      <alignment/>
    </xf>
    <xf numFmtId="1" fontId="7" fillId="6" borderId="23" xfId="0" applyNumberFormat="1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/>
    </xf>
    <xf numFmtId="1" fontId="11" fillId="6" borderId="41" xfId="0" applyNumberFormat="1" applyFont="1" applyFill="1" applyBorder="1" applyAlignment="1">
      <alignment horizontal="center"/>
    </xf>
    <xf numFmtId="1" fontId="7" fillId="6" borderId="23" xfId="0" applyNumberFormat="1" applyFont="1" applyFill="1" applyBorder="1" applyAlignment="1">
      <alignment horizontal="center"/>
    </xf>
    <xf numFmtId="1" fontId="7" fillId="6" borderId="30" xfId="0" applyNumberFormat="1" applyFont="1" applyFill="1" applyBorder="1" applyAlignment="1">
      <alignment horizontal="center"/>
    </xf>
    <xf numFmtId="1" fontId="7" fillId="6" borderId="31" xfId="0" applyNumberFormat="1" applyFont="1" applyFill="1" applyBorder="1" applyAlignment="1">
      <alignment horizontal="center"/>
    </xf>
    <xf numFmtId="1" fontId="7" fillId="6" borderId="26" xfId="0" applyNumberFormat="1" applyFont="1" applyFill="1" applyBorder="1" applyAlignment="1">
      <alignment horizontal="center"/>
    </xf>
    <xf numFmtId="1" fontId="7" fillId="6" borderId="33" xfId="0" applyNumberFormat="1" applyFont="1" applyFill="1" applyBorder="1" applyAlignment="1">
      <alignment horizontal="center"/>
    </xf>
    <xf numFmtId="171" fontId="11" fillId="0" borderId="30" xfId="0" applyNumberFormat="1" applyFont="1" applyFill="1" applyBorder="1" applyAlignment="1">
      <alignment horizontal="center"/>
    </xf>
    <xf numFmtId="171" fontId="11" fillId="0" borderId="27" xfId="0" applyNumberFormat="1" applyFont="1" applyFill="1" applyBorder="1" applyAlignment="1">
      <alignment horizontal="center"/>
    </xf>
    <xf numFmtId="1" fontId="10" fillId="37" borderId="0" xfId="0" applyNumberFormat="1" applyFont="1" applyFill="1" applyBorder="1" applyAlignment="1">
      <alignment horizontal="center"/>
    </xf>
    <xf numFmtId="0" fontId="13" fillId="37" borderId="0" xfId="0" applyFont="1" applyFill="1" applyBorder="1" applyAlignment="1" applyProtection="1">
      <alignment vertical="center" wrapText="1"/>
      <protection locked="0"/>
    </xf>
    <xf numFmtId="1" fontId="10" fillId="37" borderId="0" xfId="0" applyNumberFormat="1" applyFont="1" applyFill="1" applyAlignment="1">
      <alignment/>
    </xf>
    <xf numFmtId="1" fontId="11" fillId="37" borderId="10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49" fontId="35" fillId="0" borderId="17" xfId="0" applyNumberFormat="1" applyFont="1" applyFill="1" applyBorder="1" applyAlignment="1">
      <alignment wrapText="1"/>
    </xf>
    <xf numFmtId="166" fontId="18" fillId="0" borderId="27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79" xfId="0" applyNumberFormat="1" applyFont="1" applyFill="1" applyBorder="1" applyAlignment="1">
      <alignment horizontal="center"/>
    </xf>
    <xf numFmtId="2" fontId="18" fillId="0" borderId="80" xfId="0" applyNumberFormat="1" applyFont="1" applyFill="1" applyBorder="1" applyAlignment="1">
      <alignment horizontal="center"/>
    </xf>
    <xf numFmtId="2" fontId="18" fillId="0" borderId="80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vertical="top" wrapText="1"/>
    </xf>
    <xf numFmtId="2" fontId="19" fillId="0" borderId="5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166" fontId="18" fillId="0" borderId="31" xfId="0" applyNumberFormat="1" applyFont="1" applyFill="1" applyBorder="1" applyAlignment="1">
      <alignment/>
    </xf>
    <xf numFmtId="166" fontId="18" fillId="0" borderId="13" xfId="0" applyNumberFormat="1" applyFont="1" applyFill="1" applyBorder="1" applyAlignment="1">
      <alignment/>
    </xf>
    <xf numFmtId="166" fontId="19" fillId="0" borderId="35" xfId="0" applyNumberFormat="1" applyFont="1" applyFill="1" applyBorder="1" applyAlignment="1">
      <alignment/>
    </xf>
    <xf numFmtId="49" fontId="18" fillId="0" borderId="16" xfId="0" applyNumberFormat="1" applyFont="1" applyFill="1" applyBorder="1" applyAlignment="1">
      <alignment horizontal="center" wrapText="1"/>
    </xf>
    <xf numFmtId="2" fontId="18" fillId="0" borderId="81" xfId="0" applyNumberFormat="1" applyFont="1" applyFill="1" applyBorder="1" applyAlignment="1">
      <alignment horizontal="center" wrapText="1"/>
    </xf>
    <xf numFmtId="166" fontId="18" fillId="0" borderId="51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 horizontal="center"/>
    </xf>
    <xf numFmtId="2" fontId="18" fillId="0" borderId="81" xfId="0" applyNumberFormat="1" applyFont="1" applyFill="1" applyBorder="1" applyAlignment="1">
      <alignment horizontal="center"/>
    </xf>
    <xf numFmtId="166" fontId="18" fillId="0" borderId="25" xfId="0" applyNumberFormat="1" applyFont="1" applyFill="1" applyBorder="1" applyAlignment="1">
      <alignment/>
    </xf>
    <xf numFmtId="49" fontId="18" fillId="0" borderId="22" xfId="0" applyNumberFormat="1" applyFont="1" applyFill="1" applyBorder="1" applyAlignment="1">
      <alignment horizontal="center" wrapText="1"/>
    </xf>
    <xf numFmtId="2" fontId="18" fillId="0" borderId="79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horizontal="center"/>
    </xf>
    <xf numFmtId="2" fontId="19" fillId="0" borderId="79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 wrapText="1"/>
    </xf>
    <xf numFmtId="2" fontId="18" fillId="0" borderId="53" xfId="0" applyNumberFormat="1" applyFont="1" applyFill="1" applyBorder="1" applyAlignment="1">
      <alignment horizontal="center" wrapText="1"/>
    </xf>
    <xf numFmtId="166" fontId="18" fillId="0" borderId="47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 horizontal="center"/>
    </xf>
    <xf numFmtId="2" fontId="18" fillId="0" borderId="53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166" fontId="18" fillId="0" borderId="62" xfId="0" applyNumberFormat="1" applyFont="1" applyFill="1" applyBorder="1" applyAlignment="1">
      <alignment/>
    </xf>
    <xf numFmtId="3" fontId="18" fillId="0" borderId="71" xfId="0" applyNumberFormat="1" applyFont="1" applyFill="1" applyBorder="1" applyAlignment="1">
      <alignment horizontal="center"/>
    </xf>
    <xf numFmtId="166" fontId="18" fillId="0" borderId="49" xfId="0" applyNumberFormat="1" applyFont="1" applyFill="1" applyBorder="1" applyAlignment="1">
      <alignment/>
    </xf>
    <xf numFmtId="2" fontId="19" fillId="0" borderId="81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49" fontId="18" fillId="0" borderId="71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4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34" borderId="82" xfId="0" applyFont="1" applyFill="1" applyBorder="1" applyAlignment="1">
      <alignment vertical="center" wrapText="1"/>
    </xf>
    <xf numFmtId="1" fontId="13" fillId="34" borderId="39" xfId="0" applyNumberFormat="1" applyFont="1" applyFill="1" applyBorder="1" applyAlignment="1">
      <alignment horizontal="center" wrapText="1"/>
    </xf>
    <xf numFmtId="1" fontId="13" fillId="0" borderId="14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wrapText="1"/>
    </xf>
    <xf numFmtId="1" fontId="13" fillId="34" borderId="55" xfId="0" applyNumberFormat="1" applyFont="1" applyFill="1" applyBorder="1" applyAlignment="1">
      <alignment horizontal="center" wrapText="1"/>
    </xf>
    <xf numFmtId="1" fontId="13" fillId="0" borderId="16" xfId="0" applyNumberFormat="1" applyFont="1" applyBorder="1" applyAlignment="1">
      <alignment horizontal="center"/>
    </xf>
    <xf numFmtId="1" fontId="13" fillId="0" borderId="25" xfId="0" applyNumberFormat="1" applyFont="1" applyFill="1" applyBorder="1" applyAlignment="1">
      <alignment horizontal="center" wrapText="1"/>
    </xf>
    <xf numFmtId="1" fontId="13" fillId="34" borderId="43" xfId="0" applyNumberFormat="1" applyFont="1" applyFill="1" applyBorder="1" applyAlignment="1">
      <alignment horizontal="center" wrapText="1"/>
    </xf>
    <xf numFmtId="1" fontId="10" fillId="0" borderId="23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" fontId="13" fillId="0" borderId="24" xfId="0" applyNumberFormat="1" applyFont="1" applyFill="1" applyBorder="1" applyAlignment="1">
      <alignment horizontal="center" wrapText="1"/>
    </xf>
    <xf numFmtId="1" fontId="13" fillId="0" borderId="34" xfId="0" applyNumberFormat="1" applyFont="1" applyBorder="1" applyAlignment="1">
      <alignment horizontal="center"/>
    </xf>
    <xf numFmtId="1" fontId="13" fillId="0" borderId="36" xfId="0" applyNumberFormat="1" applyFont="1" applyBorder="1" applyAlignment="1">
      <alignment horizontal="center"/>
    </xf>
    <xf numFmtId="1" fontId="13" fillId="0" borderId="70" xfId="0" applyNumberFormat="1" applyFont="1" applyFill="1" applyBorder="1" applyAlignment="1">
      <alignment horizontal="center" wrapText="1"/>
    </xf>
    <xf numFmtId="0" fontId="10" fillId="34" borderId="46" xfId="0" applyFont="1" applyFill="1" applyBorder="1" applyAlignment="1">
      <alignment horizontal="center" wrapText="1"/>
    </xf>
    <xf numFmtId="171" fontId="7" fillId="0" borderId="23" xfId="0" applyNumberFormat="1" applyFont="1" applyFill="1" applyBorder="1" applyAlignment="1">
      <alignment horizontal="center"/>
    </xf>
    <xf numFmtId="171" fontId="7" fillId="0" borderId="47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/>
    </xf>
    <xf numFmtId="174" fontId="2" fillId="0" borderId="13" xfId="54" applyNumberFormat="1" applyFont="1" applyFill="1" applyBorder="1" applyAlignment="1">
      <alignment vertical="center"/>
      <protection/>
    </xf>
    <xf numFmtId="174" fontId="3" fillId="0" borderId="13" xfId="54" applyNumberFormat="1" applyFont="1" applyFill="1" applyBorder="1" applyAlignment="1">
      <alignment vertical="center"/>
      <protection/>
    </xf>
    <xf numFmtId="174" fontId="2" fillId="0" borderId="10" xfId="54" applyNumberFormat="1" applyFont="1" applyFill="1" applyBorder="1" applyAlignment="1">
      <alignment horizontal="center" vertical="center"/>
      <protection/>
    </xf>
    <xf numFmtId="174" fontId="3" fillId="0" borderId="13" xfId="60" applyNumberFormat="1" applyFont="1" applyFill="1" applyBorder="1" applyAlignment="1">
      <alignment vertical="center" wrapText="1"/>
      <protection/>
    </xf>
    <xf numFmtId="2" fontId="19" fillId="0" borderId="11" xfId="0" applyNumberFormat="1" applyFont="1" applyFill="1" applyBorder="1" applyAlignment="1">
      <alignment horizontal="center"/>
    </xf>
    <xf numFmtId="2" fontId="18" fillId="0" borderId="83" xfId="0" applyNumberFormat="1" applyFont="1" applyFill="1" applyBorder="1" applyAlignment="1">
      <alignment horizontal="center"/>
    </xf>
    <xf numFmtId="166" fontId="18" fillId="0" borderId="68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80" xfId="0" applyFont="1" applyFill="1" applyBorder="1" applyAlignment="1">
      <alignment vertical="center" wrapText="1"/>
    </xf>
    <xf numFmtId="0" fontId="18" fillId="0" borderId="80" xfId="0" applyFont="1" applyFill="1" applyBorder="1" applyAlignment="1">
      <alignment wrapText="1"/>
    </xf>
    <xf numFmtId="2" fontId="18" fillId="0" borderId="80" xfId="0" applyNumberFormat="1" applyFont="1" applyFill="1" applyBorder="1" applyAlignment="1">
      <alignment wrapText="1"/>
    </xf>
    <xf numFmtId="166" fontId="18" fillId="0" borderId="80" xfId="0" applyNumberFormat="1" applyFont="1" applyFill="1" applyBorder="1" applyAlignment="1">
      <alignment wrapText="1"/>
    </xf>
    <xf numFmtId="166" fontId="18" fillId="0" borderId="11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2" fillId="0" borderId="41" xfId="54" applyNumberFormat="1" applyFont="1" applyBorder="1" applyAlignment="1">
      <alignment horizontal="center" vertical="top" wrapText="1"/>
      <protection/>
    </xf>
    <xf numFmtId="174" fontId="2" fillId="0" borderId="23" xfId="54" applyNumberFormat="1" applyFont="1" applyBorder="1" applyAlignment="1">
      <alignment horizontal="center" vertical="center" wrapText="1"/>
      <protection/>
    </xf>
    <xf numFmtId="174" fontId="13" fillId="0" borderId="30" xfId="54" applyNumberFormat="1" applyFont="1" applyBorder="1" applyAlignment="1">
      <alignment vertical="top"/>
      <protection/>
    </xf>
    <xf numFmtId="174" fontId="13" fillId="0" borderId="10" xfId="54" applyNumberFormat="1" applyFont="1" applyBorder="1" applyAlignment="1">
      <alignment wrapText="1"/>
      <protection/>
    </xf>
    <xf numFmtId="174" fontId="13" fillId="0" borderId="10" xfId="60" applyNumberFormat="1" applyFont="1" applyBorder="1" applyAlignment="1">
      <alignment/>
      <protection/>
    </xf>
    <xf numFmtId="174" fontId="22" fillId="0" borderId="10" xfId="54" applyNumberFormat="1" applyFont="1" applyBorder="1" applyAlignment="1">
      <alignment wrapText="1"/>
      <protection/>
    </xf>
    <xf numFmtId="174" fontId="22" fillId="0" borderId="10" xfId="54" applyNumberFormat="1" applyFont="1" applyFill="1" applyBorder="1" applyAlignment="1">
      <alignment wrapText="1"/>
      <protection/>
    </xf>
    <xf numFmtId="174" fontId="10" fillId="0" borderId="10" xfId="60" applyNumberFormat="1" applyFont="1" applyFill="1" applyBorder="1" applyAlignment="1">
      <alignment wrapText="1"/>
      <protection/>
    </xf>
    <xf numFmtId="174" fontId="10" fillId="0" borderId="10" xfId="54" applyNumberFormat="1" applyFont="1" applyFill="1" applyBorder="1" applyAlignment="1">
      <alignment vertical="center" wrapText="1"/>
      <protection/>
    </xf>
    <xf numFmtId="174" fontId="10" fillId="0" borderId="26" xfId="54" applyNumberFormat="1" applyFont="1" applyFill="1" applyBorder="1" applyAlignment="1">
      <alignment vertical="center" wrapText="1"/>
      <protection/>
    </xf>
    <xf numFmtId="174" fontId="68" fillId="0" borderId="10" xfId="0" applyNumberFormat="1" applyFont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" fontId="11" fillId="0" borderId="33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1" fillId="0" borderId="38" xfId="0" applyNumberFormat="1" applyFont="1" applyBorder="1" applyAlignment="1">
      <alignment vertical="center" wrapText="1"/>
    </xf>
    <xf numFmtId="1" fontId="11" fillId="0" borderId="27" xfId="0" applyNumberFormat="1" applyFont="1" applyBorder="1" applyAlignment="1">
      <alignment/>
    </xf>
    <xf numFmtId="1" fontId="11" fillId="0" borderId="38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7" fillId="0" borderId="56" xfId="0" applyNumberFormat="1" applyFont="1" applyFill="1" applyBorder="1" applyAlignment="1">
      <alignment horizontal="center" wrapText="1"/>
    </xf>
    <xf numFmtId="1" fontId="7" fillId="0" borderId="57" xfId="0" applyNumberFormat="1" applyFont="1" applyFill="1" applyBorder="1" applyAlignment="1">
      <alignment horizontal="center" wrapText="1"/>
    </xf>
    <xf numFmtId="1" fontId="7" fillId="0" borderId="60" xfId="0" applyNumberFormat="1" applyFont="1" applyFill="1" applyBorder="1" applyAlignment="1">
      <alignment horizontal="center" wrapText="1"/>
    </xf>
    <xf numFmtId="1" fontId="7" fillId="0" borderId="58" xfId="0" applyNumberFormat="1" applyFont="1" applyFill="1" applyBorder="1" applyAlignment="1">
      <alignment wrapText="1"/>
    </xf>
    <xf numFmtId="1" fontId="7" fillId="0" borderId="10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19" fillId="0" borderId="68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9" fontId="11" fillId="0" borderId="31" xfId="0" applyNumberFormat="1" applyFont="1" applyBorder="1" applyAlignment="1">
      <alignment horizontal="center"/>
    </xf>
    <xf numFmtId="9" fontId="11" fillId="0" borderId="30" xfId="0" applyNumberFormat="1" applyFont="1" applyBorder="1" applyAlignment="1">
      <alignment horizontal="center"/>
    </xf>
    <xf numFmtId="0" fontId="13" fillId="34" borderId="74" xfId="0" applyFont="1" applyFill="1" applyBorder="1" applyAlignment="1" applyProtection="1">
      <alignment horizontal="center" vertical="center" wrapText="1"/>
      <protection locked="0"/>
    </xf>
    <xf numFmtId="0" fontId="13" fillId="34" borderId="53" xfId="0" applyFont="1" applyFill="1" applyBorder="1" applyAlignment="1" applyProtection="1">
      <alignment vertical="center" wrapText="1"/>
      <protection locked="0"/>
    </xf>
    <xf numFmtId="1" fontId="13" fillId="34" borderId="53" xfId="0" applyNumberFormat="1" applyFont="1" applyFill="1" applyBorder="1" applyAlignment="1" applyProtection="1">
      <alignment vertical="center" wrapText="1"/>
      <protection locked="0"/>
    </xf>
    <xf numFmtId="0" fontId="13" fillId="37" borderId="53" xfId="0" applyFont="1" applyFill="1" applyBorder="1" applyAlignment="1" applyProtection="1">
      <alignment vertical="center" wrapText="1"/>
      <protection locked="0"/>
    </xf>
    <xf numFmtId="0" fontId="13" fillId="37" borderId="44" xfId="0" applyFont="1" applyFill="1" applyBorder="1" applyAlignment="1" applyProtection="1">
      <alignment vertical="center" wrapText="1"/>
      <protection locked="0"/>
    </xf>
    <xf numFmtId="1" fontId="10" fillId="0" borderId="0" xfId="0" applyNumberFormat="1" applyFont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57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3" fillId="0" borderId="56" xfId="0" applyNumberFormat="1" applyFont="1" applyFill="1" applyBorder="1" applyAlignment="1">
      <alignment horizontal="center"/>
    </xf>
    <xf numFmtId="1" fontId="10" fillId="0" borderId="57" xfId="0" applyNumberFormat="1" applyFont="1" applyFill="1" applyBorder="1" applyAlignment="1">
      <alignment horizontal="center"/>
    </xf>
    <xf numFmtId="1" fontId="10" fillId="0" borderId="58" xfId="0" applyNumberFormat="1" applyFont="1" applyFill="1" applyBorder="1" applyAlignment="1">
      <alignment horizontal="center"/>
    </xf>
    <xf numFmtId="0" fontId="7" fillId="34" borderId="74" xfId="0" applyFont="1" applyFill="1" applyBorder="1" applyAlignment="1">
      <alignment vertical="center" wrapText="1"/>
    </xf>
    <xf numFmtId="1" fontId="10" fillId="0" borderId="47" xfId="0" applyNumberFormat="1" applyFont="1" applyBorder="1" applyAlignment="1">
      <alignment horizontal="center"/>
    </xf>
    <xf numFmtId="0" fontId="13" fillId="34" borderId="53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173" fontId="3" fillId="0" borderId="13" xfId="54" applyNumberFormat="1" applyFont="1" applyFill="1" applyBorder="1" applyAlignment="1">
      <alignment vertical="center"/>
      <protection/>
    </xf>
    <xf numFmtId="168" fontId="3" fillId="0" borderId="13" xfId="54" applyNumberFormat="1" applyFont="1" applyFill="1" applyBorder="1" applyAlignment="1">
      <alignment vertical="center"/>
      <protection/>
    </xf>
    <xf numFmtId="168" fontId="3" fillId="0" borderId="13" xfId="60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1" fontId="11" fillId="0" borderId="57" xfId="0" applyNumberFormat="1" applyFont="1" applyFill="1" applyBorder="1" applyAlignment="1">
      <alignment horizontal="center"/>
    </xf>
    <xf numFmtId="1" fontId="11" fillId="0" borderId="60" xfId="0" applyNumberFormat="1" applyFont="1" applyFill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29" fillId="34" borderId="41" xfId="0" applyFont="1" applyFill="1" applyBorder="1" applyAlignment="1">
      <alignment horizontal="left" vertical="center" wrapText="1"/>
    </xf>
    <xf numFmtId="1" fontId="7" fillId="0" borderId="41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8" fillId="0" borderId="41" xfId="0" applyFont="1" applyFill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66" fontId="18" fillId="0" borderId="70" xfId="0" applyNumberFormat="1" applyFont="1" applyFill="1" applyBorder="1" applyAlignment="1">
      <alignment/>
    </xf>
    <xf numFmtId="1" fontId="13" fillId="0" borderId="0" xfId="0" applyNumberFormat="1" applyFont="1" applyAlignment="1">
      <alignment horizontal="center"/>
    </xf>
    <xf numFmtId="0" fontId="31" fillId="0" borderId="0" xfId="0" applyFont="1" applyFill="1" applyBorder="1" applyAlignment="1" applyProtection="1">
      <alignment vertical="top" wrapText="1"/>
      <protection locked="0"/>
    </xf>
    <xf numFmtId="1" fontId="19" fillId="0" borderId="27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7" fillId="6" borderId="24" xfId="0" applyNumberFormat="1" applyFont="1" applyFill="1" applyBorder="1" applyAlignment="1">
      <alignment horizontal="center" wrapText="1"/>
    </xf>
    <xf numFmtId="1" fontId="11" fillId="0" borderId="66" xfId="0" applyNumberFormat="1" applyFont="1" applyBorder="1" applyAlignment="1">
      <alignment horizontal="center"/>
    </xf>
    <xf numFmtId="1" fontId="11" fillId="6" borderId="42" xfId="0" applyNumberFormat="1" applyFont="1" applyFill="1" applyBorder="1" applyAlignment="1">
      <alignment horizontal="center"/>
    </xf>
    <xf numFmtId="1" fontId="11" fillId="6" borderId="68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6" borderId="15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6" borderId="25" xfId="0" applyNumberFormat="1" applyFont="1" applyFill="1" applyBorder="1" applyAlignment="1">
      <alignment horizontal="center"/>
    </xf>
    <xf numFmtId="1" fontId="7" fillId="6" borderId="24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/>
    </xf>
    <xf numFmtId="0" fontId="11" fillId="0" borderId="82" xfId="0" applyFont="1" applyFill="1" applyBorder="1" applyAlignment="1">
      <alignment horizontal="center" wrapText="1"/>
    </xf>
    <xf numFmtId="0" fontId="11" fillId="36" borderId="4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35" borderId="21" xfId="0" applyFont="1" applyFill="1" applyBorder="1" applyAlignment="1">
      <alignment horizontal="center" wrapText="1"/>
    </xf>
    <xf numFmtId="1" fontId="11" fillId="0" borderId="21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0" fillId="36" borderId="39" xfId="0" applyNumberFormat="1" applyFont="1" applyFill="1" applyBorder="1" applyAlignment="1">
      <alignment horizontal="center" vertical="center" wrapText="1"/>
    </xf>
    <xf numFmtId="1" fontId="10" fillId="35" borderId="22" xfId="0" applyNumberFormat="1" applyFont="1" applyFill="1" applyBorder="1" applyAlignment="1">
      <alignment horizontal="center" vertical="center" wrapText="1"/>
    </xf>
    <xf numFmtId="1" fontId="10" fillId="36" borderId="12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1" fontId="10" fillId="36" borderId="50" xfId="0" applyNumberFormat="1" applyFont="1" applyFill="1" applyBorder="1" applyAlignment="1">
      <alignment horizontal="center" vertical="center" wrapText="1"/>
    </xf>
    <xf numFmtId="1" fontId="10" fillId="35" borderId="16" xfId="0" applyNumberFormat="1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left" vertical="center" wrapText="1"/>
    </xf>
    <xf numFmtId="1" fontId="10" fillId="36" borderId="59" xfId="0" applyNumberFormat="1" applyFont="1" applyFill="1" applyBorder="1" applyAlignment="1">
      <alignment horizontal="center" vertical="center" wrapText="1"/>
    </xf>
    <xf numFmtId="1" fontId="10" fillId="35" borderId="56" xfId="0" applyNumberFormat="1" applyFont="1" applyFill="1" applyBorder="1" applyAlignment="1">
      <alignment horizontal="center" vertical="center" wrapText="1"/>
    </xf>
    <xf numFmtId="1" fontId="10" fillId="35" borderId="56" xfId="0" applyNumberFormat="1" applyFont="1" applyFill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1" fontId="10" fillId="35" borderId="30" xfId="0" applyNumberFormat="1" applyFont="1" applyFill="1" applyBorder="1" applyAlignment="1">
      <alignment horizontal="center" vertical="center" wrapText="1"/>
    </xf>
    <xf numFmtId="1" fontId="10" fillId="35" borderId="30" xfId="0" applyNumberFormat="1" applyFont="1" applyFill="1" applyBorder="1" applyAlignment="1">
      <alignment horizontal="center"/>
    </xf>
    <xf numFmtId="1" fontId="11" fillId="0" borderId="85" xfId="0" applyNumberFormat="1" applyFont="1" applyFill="1" applyBorder="1" applyAlignment="1">
      <alignment horizontal="center"/>
    </xf>
    <xf numFmtId="1" fontId="10" fillId="0" borderId="75" xfId="0" applyNumberFormat="1" applyFont="1" applyFill="1" applyBorder="1" applyAlignment="1">
      <alignment horizontal="center"/>
    </xf>
    <xf numFmtId="1" fontId="10" fillId="0" borderId="76" xfId="0" applyNumberFormat="1" applyFont="1" applyFill="1" applyBorder="1" applyAlignment="1">
      <alignment horizontal="center"/>
    </xf>
    <xf numFmtId="0" fontId="10" fillId="0" borderId="73" xfId="0" applyFont="1" applyFill="1" applyBorder="1" applyAlignment="1">
      <alignment horizontal="left" vertical="center" wrapText="1"/>
    </xf>
    <xf numFmtId="1" fontId="13" fillId="0" borderId="34" xfId="0" applyNumberFormat="1" applyFont="1" applyFill="1" applyBorder="1" applyAlignment="1">
      <alignment horizontal="center"/>
    </xf>
    <xf numFmtId="9" fontId="10" fillId="0" borderId="36" xfId="0" applyNumberFormat="1" applyFont="1" applyFill="1" applyBorder="1" applyAlignment="1">
      <alignment horizontal="center"/>
    </xf>
    <xf numFmtId="9" fontId="10" fillId="0" borderId="70" xfId="0" applyNumberFormat="1" applyFont="1" applyFill="1" applyBorder="1" applyAlignment="1">
      <alignment horizontal="center"/>
    </xf>
    <xf numFmtId="0" fontId="10" fillId="0" borderId="82" xfId="0" applyFont="1" applyFill="1" applyBorder="1" applyAlignment="1">
      <alignment horizontal="left" vertical="center" wrapText="1"/>
    </xf>
    <xf numFmtId="1" fontId="10" fillId="36" borderId="4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35" borderId="23" xfId="0" applyNumberFormat="1" applyFont="1" applyFill="1" applyBorder="1" applyAlignment="1">
      <alignment horizontal="center" vertical="center" wrapText="1"/>
    </xf>
    <xf numFmtId="1" fontId="10" fillId="35" borderId="23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1" fillId="0" borderId="44" xfId="0" applyNumberFormat="1" applyFont="1" applyBorder="1" applyAlignment="1">
      <alignment/>
    </xf>
    <xf numFmtId="1" fontId="18" fillId="0" borderId="66" xfId="0" applyNumberFormat="1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 wrapText="1"/>
    </xf>
    <xf numFmtId="1" fontId="13" fillId="34" borderId="2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 wrapText="1"/>
    </xf>
    <xf numFmtId="0" fontId="19" fillId="0" borderId="8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1" fontId="7" fillId="0" borderId="83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87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1" fontId="7" fillId="0" borderId="57" xfId="0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1" fontId="7" fillId="0" borderId="66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" fontId="7" fillId="0" borderId="68" xfId="0" applyNumberFormat="1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/>
    </xf>
    <xf numFmtId="1" fontId="11" fillId="0" borderId="67" xfId="0" applyNumberFormat="1" applyFont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left" wrapText="1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 wrapText="1"/>
    </xf>
    <xf numFmtId="1" fontId="11" fillId="6" borderId="36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36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1" fillId="0" borderId="47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74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11" fillId="0" borderId="71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1" fontId="11" fillId="6" borderId="49" xfId="0" applyNumberFormat="1" applyFont="1" applyFill="1" applyBorder="1" applyAlignment="1">
      <alignment horizontal="center" vertical="center" wrapText="1"/>
    </xf>
    <xf numFmtId="1" fontId="11" fillId="6" borderId="7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8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1" fontId="11" fillId="0" borderId="67" xfId="0" applyNumberFormat="1" applyFont="1" applyBorder="1" applyAlignment="1">
      <alignment horizontal="center" vertical="center" wrapText="1"/>
    </xf>
    <xf numFmtId="1" fontId="10" fillId="0" borderId="66" xfId="0" applyNumberFormat="1" applyFont="1" applyBorder="1" applyAlignment="1">
      <alignment horizontal="center" wrapText="1"/>
    </xf>
    <xf numFmtId="1" fontId="10" fillId="0" borderId="42" xfId="0" applyNumberFormat="1" applyFont="1" applyBorder="1" applyAlignment="1">
      <alignment horizontal="center" wrapText="1"/>
    </xf>
    <xf numFmtId="1" fontId="10" fillId="0" borderId="67" xfId="0" applyNumberFormat="1" applyFont="1" applyBorder="1" applyAlignment="1">
      <alignment horizontal="center" wrapText="1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" fontId="11" fillId="0" borderId="66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7" fillId="34" borderId="42" xfId="0" applyFont="1" applyFill="1" applyBorder="1" applyAlignment="1" applyProtection="1">
      <alignment horizontal="center" vertical="center" wrapText="1"/>
      <protection locked="0"/>
    </xf>
    <xf numFmtId="0" fontId="27" fillId="34" borderId="68" xfId="0" applyFont="1" applyFill="1" applyBorder="1" applyAlignment="1" applyProtection="1">
      <alignment horizontal="center" vertical="center" wrapText="1"/>
      <protection locked="0"/>
    </xf>
    <xf numFmtId="0" fontId="27" fillId="34" borderId="66" xfId="0" applyFont="1" applyFill="1" applyBorder="1" applyAlignment="1" applyProtection="1">
      <alignment horizontal="center" vertical="center" wrapText="1"/>
      <protection locked="0"/>
    </xf>
    <xf numFmtId="0" fontId="27" fillId="34" borderId="14" xfId="0" applyFont="1" applyFill="1" applyBorder="1" applyAlignment="1" applyProtection="1">
      <alignment horizontal="center" vertical="center" wrapText="1"/>
      <protection locked="0"/>
    </xf>
    <xf numFmtId="0" fontId="27" fillId="34" borderId="20" xfId="0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 applyProtection="1">
      <alignment horizontal="center" vertical="center" wrapText="1"/>
      <protection locked="0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32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7" fillId="34" borderId="67" xfId="0" applyFont="1" applyFill="1" applyBorder="1" applyAlignment="1">
      <alignment horizontal="center" vertical="center" wrapText="1"/>
    </xf>
    <xf numFmtId="0" fontId="27" fillId="34" borderId="63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13" fillId="0" borderId="74" xfId="0" applyNumberFormat="1" applyFont="1" applyBorder="1" applyAlignment="1">
      <alignment horizontal="center" vertical="center" wrapText="1"/>
    </xf>
    <xf numFmtId="1" fontId="13" fillId="0" borderId="53" xfId="0" applyNumberFormat="1" applyFont="1" applyBorder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 wrapText="1"/>
    </xf>
    <xf numFmtId="0" fontId="27" fillId="36" borderId="56" xfId="0" applyFont="1" applyFill="1" applyBorder="1" applyAlignment="1">
      <alignment horizontal="center" vertical="center" wrapText="1"/>
    </xf>
    <xf numFmtId="0" fontId="27" fillId="36" borderId="34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27" fillId="34" borderId="74" xfId="0" applyFont="1" applyFill="1" applyBorder="1" applyAlignment="1" applyProtection="1">
      <alignment horizontal="center" vertical="center" wrapText="1"/>
      <protection locked="0"/>
    </xf>
    <xf numFmtId="0" fontId="27" fillId="34" borderId="53" xfId="0" applyFont="1" applyFill="1" applyBorder="1" applyAlignment="1" applyProtection="1">
      <alignment horizontal="center" vertical="center" wrapText="1"/>
      <protection locked="0"/>
    </xf>
    <xf numFmtId="0" fontId="27" fillId="34" borderId="44" xfId="0" applyFont="1" applyFill="1" applyBorder="1" applyAlignment="1" applyProtection="1">
      <alignment horizontal="center" vertical="center" wrapText="1"/>
      <protection locked="0"/>
    </xf>
    <xf numFmtId="0" fontId="27" fillId="34" borderId="66" xfId="0" applyFont="1" applyFill="1" applyBorder="1" applyAlignment="1">
      <alignment horizontal="center" vertical="center" wrapText="1"/>
    </xf>
    <xf numFmtId="0" fontId="27" fillId="34" borderId="42" xfId="0" applyFont="1" applyFill="1" applyBorder="1" applyAlignment="1">
      <alignment horizontal="center" vertical="center" wrapText="1"/>
    </xf>
    <xf numFmtId="0" fontId="27" fillId="34" borderId="68" xfId="0" applyFont="1" applyFill="1" applyBorder="1" applyAlignment="1">
      <alignment horizontal="center" vertical="center" wrapText="1"/>
    </xf>
    <xf numFmtId="0" fontId="27" fillId="34" borderId="8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76" xfId="0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0" fontId="34" fillId="0" borderId="69" xfId="0" applyFont="1" applyBorder="1" applyAlignment="1">
      <alignment horizontal="left" wrapText="1"/>
    </xf>
    <xf numFmtId="0" fontId="33" fillId="0" borderId="0" xfId="0" applyFont="1" applyFill="1" applyAlignment="1">
      <alignment horizontal="center" vertical="top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84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 vertical="justify"/>
    </xf>
    <xf numFmtId="0" fontId="31" fillId="0" borderId="0" xfId="0" applyFont="1" applyFill="1" applyBorder="1" applyAlignment="1">
      <alignment horizontal="center" vertical="justify"/>
    </xf>
    <xf numFmtId="0" fontId="3" fillId="0" borderId="41" xfId="0" applyFont="1" applyFill="1" applyBorder="1" applyAlignment="1">
      <alignment horizontal="center" vertical="justify" wrapText="1"/>
    </xf>
    <xf numFmtId="0" fontId="3" fillId="0" borderId="3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1" fillId="0" borderId="67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justify" wrapText="1"/>
    </xf>
    <xf numFmtId="4" fontId="3" fillId="0" borderId="30" xfId="0" applyNumberFormat="1" applyFont="1" applyFill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4" fontId="3" fillId="0" borderId="41" xfId="0" applyNumberFormat="1" applyFont="1" applyFill="1" applyBorder="1" applyAlignment="1">
      <alignment horizontal="center" vertical="justify"/>
    </xf>
    <xf numFmtId="4" fontId="3" fillId="0" borderId="30" xfId="0" applyNumberFormat="1" applyFont="1" applyFill="1" applyBorder="1" applyAlignment="1">
      <alignment horizontal="center" vertical="justify"/>
    </xf>
    <xf numFmtId="0" fontId="11" fillId="0" borderId="56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3" fillId="0" borderId="41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2" fillId="0" borderId="79" xfId="0" applyFont="1" applyFill="1" applyBorder="1" applyAlignment="1">
      <alignment horizontal="center" vertical="justify"/>
    </xf>
    <xf numFmtId="0" fontId="11" fillId="0" borderId="58" xfId="0" applyFont="1" applyFill="1" applyBorder="1" applyAlignment="1">
      <alignment horizontal="center" vertical="justify"/>
    </xf>
    <xf numFmtId="0" fontId="11" fillId="0" borderId="70" xfId="0" applyFont="1" applyFill="1" applyBorder="1" applyAlignment="1">
      <alignment horizontal="center" vertical="justify"/>
    </xf>
    <xf numFmtId="4" fontId="2" fillId="0" borderId="79" xfId="0" applyNumberFormat="1" applyFont="1" applyFill="1" applyBorder="1" applyAlignment="1">
      <alignment horizontal="center" vertical="justify"/>
    </xf>
    <xf numFmtId="0" fontId="19" fillId="0" borderId="0" xfId="0" applyFont="1" applyFill="1" applyAlignment="1">
      <alignment horizontal="center" vertical="center" wrapText="1"/>
    </xf>
    <xf numFmtId="0" fontId="9" fillId="0" borderId="67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wrapText="1"/>
    </xf>
    <xf numFmtId="0" fontId="8" fillId="0" borderId="83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3" fillId="0" borderId="69" xfId="54" applyFont="1" applyFill="1" applyBorder="1" applyAlignment="1">
      <alignment horizontal="left" vertical="top" wrapText="1"/>
      <protection/>
    </xf>
    <xf numFmtId="0" fontId="3" fillId="0" borderId="0" xfId="54" applyFont="1" applyFill="1" applyAlignment="1">
      <alignment horizontal="left" wrapText="1"/>
      <protection/>
    </xf>
    <xf numFmtId="0" fontId="8" fillId="0" borderId="0" xfId="0" applyFont="1" applyAlignment="1">
      <alignment horizontal="center" wrapText="1"/>
    </xf>
    <xf numFmtId="0" fontId="13" fillId="0" borderId="56" xfId="54" applyNumberFormat="1" applyFont="1" applyBorder="1" applyAlignment="1">
      <alignment horizontal="center" vertical="center" wrapText="1"/>
      <protection/>
    </xf>
    <xf numFmtId="0" fontId="13" fillId="0" borderId="71" xfId="54" applyNumberFormat="1" applyFont="1" applyBorder="1" applyAlignment="1">
      <alignment horizontal="center" vertical="center" wrapText="1"/>
      <protection/>
    </xf>
    <xf numFmtId="0" fontId="2" fillId="0" borderId="60" xfId="54" applyNumberFormat="1" applyFont="1" applyBorder="1" applyAlignment="1">
      <alignment horizontal="center" vertical="center" wrapText="1"/>
      <protection/>
    </xf>
    <xf numFmtId="0" fontId="2" fillId="0" borderId="62" xfId="54" applyNumberFormat="1" applyFont="1" applyBorder="1" applyAlignment="1">
      <alignment horizontal="center" vertical="center" wrapText="1"/>
      <protection/>
    </xf>
    <xf numFmtId="0" fontId="2" fillId="0" borderId="42" xfId="54" applyNumberFormat="1" applyFont="1" applyBorder="1" applyAlignment="1">
      <alignment horizontal="center" vertical="top" wrapText="1"/>
      <protection/>
    </xf>
    <xf numFmtId="0" fontId="2" fillId="0" borderId="68" xfId="54" applyNumberFormat="1" applyFont="1" applyBorder="1" applyAlignment="1">
      <alignment horizontal="center" vertical="top" wrapText="1"/>
      <protection/>
    </xf>
    <xf numFmtId="0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8" xfId="54" applyNumberFormat="1" applyFont="1" applyFill="1" applyBorder="1" applyAlignment="1">
      <alignment horizontal="center" vertical="center" wrapText="1"/>
      <protection/>
    </xf>
    <xf numFmtId="0" fontId="2" fillId="0" borderId="30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49" fontId="3" fillId="0" borderId="41" xfId="54" applyNumberFormat="1" applyFont="1" applyFill="1" applyBorder="1" applyAlignment="1">
      <alignment horizontal="left" vertical="center" wrapText="1"/>
      <protection/>
    </xf>
    <xf numFmtId="49" fontId="3" fillId="0" borderId="48" xfId="54" applyNumberFormat="1" applyFont="1" applyFill="1" applyBorder="1" applyAlignment="1">
      <alignment horizontal="left" vertical="center" wrapText="1"/>
      <protection/>
    </xf>
    <xf numFmtId="49" fontId="3" fillId="0" borderId="3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top" wrapText="1"/>
      <protection/>
    </xf>
    <xf numFmtId="0" fontId="2" fillId="0" borderId="8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justify" wrapText="1"/>
    </xf>
    <xf numFmtId="0" fontId="2" fillId="0" borderId="0" xfId="54" applyFont="1" applyFill="1" applyAlignment="1">
      <alignment horizontal="center"/>
      <protection/>
    </xf>
    <xf numFmtId="173" fontId="3" fillId="0" borderId="13" xfId="60" applyNumberFormat="1" applyFont="1" applyFill="1" applyBorder="1" applyAlignment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_Расчет объемов с приложениями к Протоколу комиссии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21"/>
  <sheetViews>
    <sheetView view="pageBreakPreview" zoomScaleSheetLayoutView="100" zoomScalePageLayoutView="0" workbookViewId="0" topLeftCell="A1">
      <selection activeCell="F7" sqref="F7:I7"/>
    </sheetView>
  </sheetViews>
  <sheetFormatPr defaultColWidth="9.140625" defaultRowHeight="15"/>
  <cols>
    <col min="1" max="1" width="3.421875" style="9" customWidth="1"/>
    <col min="2" max="2" width="31.7109375" style="9" customWidth="1"/>
    <col min="3" max="3" width="10.421875" style="155" customWidth="1"/>
    <col min="4" max="4" width="11.8515625" style="9" customWidth="1"/>
    <col min="5" max="6" width="0" style="9" hidden="1" customWidth="1"/>
    <col min="7" max="7" width="12.57421875" style="9" customWidth="1"/>
    <col min="8" max="8" width="11.140625" style="9" customWidth="1"/>
    <col min="9" max="9" width="11.8515625" style="9" customWidth="1"/>
    <col min="10" max="10" width="9.8515625" style="9" customWidth="1"/>
    <col min="11" max="11" width="10.140625" style="9" customWidth="1"/>
    <col min="12" max="12" width="12.28125" style="155" customWidth="1"/>
    <col min="13" max="14" width="11.00390625" style="9" customWidth="1"/>
    <col min="15" max="16384" width="9.140625" style="9" customWidth="1"/>
  </cols>
  <sheetData>
    <row r="1" spans="10:14" ht="50.25" customHeight="1">
      <c r="J1" s="56"/>
      <c r="K1" s="858" t="s">
        <v>321</v>
      </c>
      <c r="L1" s="858"/>
      <c r="M1" s="858"/>
      <c r="N1" s="858"/>
    </row>
    <row r="2" spans="10:13" ht="12.75">
      <c r="J2" s="56"/>
      <c r="K2" s="56"/>
      <c r="L2" s="160"/>
      <c r="M2" s="56"/>
    </row>
    <row r="3" spans="9:13" ht="12.75">
      <c r="I3" s="56"/>
      <c r="J3" s="56"/>
      <c r="K3" s="56"/>
      <c r="L3" s="160"/>
      <c r="M3" s="56"/>
    </row>
    <row r="4" spans="2:14" ht="12.75" customHeight="1">
      <c r="B4" s="870" t="s">
        <v>255</v>
      </c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</row>
    <row r="5" spans="2:13" ht="13.5" thickBot="1">
      <c r="B5" s="11"/>
      <c r="C5" s="156"/>
      <c r="D5" s="11"/>
      <c r="E5" s="11"/>
      <c r="F5" s="11"/>
      <c r="G5" s="11"/>
      <c r="H5" s="11"/>
      <c r="I5" s="11"/>
      <c r="J5" s="11"/>
      <c r="K5" s="11"/>
      <c r="L5" s="156"/>
      <c r="M5" s="11"/>
    </row>
    <row r="6" spans="2:14" ht="72.75" customHeight="1">
      <c r="B6" s="871" t="s">
        <v>91</v>
      </c>
      <c r="C6" s="873" t="s">
        <v>90</v>
      </c>
      <c r="D6" s="873"/>
      <c r="E6" s="873" t="s">
        <v>92</v>
      </c>
      <c r="F6" s="873"/>
      <c r="G6" s="873"/>
      <c r="H6" s="873"/>
      <c r="I6" s="873"/>
      <c r="J6" s="873" t="s">
        <v>93</v>
      </c>
      <c r="K6" s="873"/>
      <c r="L6" s="873"/>
      <c r="M6" s="874" t="s">
        <v>94</v>
      </c>
      <c r="N6" s="875"/>
    </row>
    <row r="7" spans="2:14" ht="26.25" customHeight="1">
      <c r="B7" s="872"/>
      <c r="C7" s="859" t="s">
        <v>95</v>
      </c>
      <c r="D7" s="865" t="s">
        <v>96</v>
      </c>
      <c r="E7" s="865" t="s">
        <v>97</v>
      </c>
      <c r="F7" s="867" t="s">
        <v>98</v>
      </c>
      <c r="G7" s="868"/>
      <c r="H7" s="868"/>
      <c r="I7" s="869"/>
      <c r="J7" s="859" t="s">
        <v>155</v>
      </c>
      <c r="K7" s="865" t="s">
        <v>129</v>
      </c>
      <c r="L7" s="865" t="s">
        <v>99</v>
      </c>
      <c r="M7" s="861" t="s">
        <v>237</v>
      </c>
      <c r="N7" s="863" t="s">
        <v>0</v>
      </c>
    </row>
    <row r="8" spans="2:14" ht="79.5" thickBot="1">
      <c r="B8" s="872"/>
      <c r="C8" s="860"/>
      <c r="D8" s="866"/>
      <c r="E8" s="866"/>
      <c r="F8" s="448" t="s">
        <v>100</v>
      </c>
      <c r="G8" s="448" t="s">
        <v>101</v>
      </c>
      <c r="H8" s="448" t="s">
        <v>102</v>
      </c>
      <c r="I8" s="448" t="s">
        <v>257</v>
      </c>
      <c r="J8" s="860"/>
      <c r="K8" s="866"/>
      <c r="L8" s="866"/>
      <c r="M8" s="862"/>
      <c r="N8" s="864"/>
    </row>
    <row r="9" spans="2:14" ht="42" customHeight="1">
      <c r="B9" s="449" t="s">
        <v>236</v>
      </c>
      <c r="C9" s="450"/>
      <c r="D9" s="451"/>
      <c r="E9" s="452"/>
      <c r="F9" s="452"/>
      <c r="G9" s="452"/>
      <c r="H9" s="452"/>
      <c r="I9" s="452"/>
      <c r="J9" s="453"/>
      <c r="K9" s="452"/>
      <c r="L9" s="450"/>
      <c r="M9" s="454"/>
      <c r="N9" s="455"/>
    </row>
    <row r="10" spans="2:14" ht="42" customHeight="1">
      <c r="B10" s="80" t="s">
        <v>153</v>
      </c>
      <c r="C10" s="157">
        <f>C12-C11</f>
        <v>12321.199999999999</v>
      </c>
      <c r="D10" s="157">
        <f aca="true" t="shared" si="0" ref="D10:M10">D12-D11</f>
        <v>0</v>
      </c>
      <c r="E10" s="157">
        <f t="shared" si="0"/>
        <v>12791.199999999999</v>
      </c>
      <c r="F10" s="157">
        <f t="shared" si="0"/>
        <v>12791.199999999999</v>
      </c>
      <c r="G10" s="157">
        <f t="shared" si="0"/>
        <v>94833</v>
      </c>
      <c r="H10" s="157">
        <f t="shared" si="0"/>
        <v>23255.24</v>
      </c>
      <c r="I10" s="157">
        <f t="shared" si="0"/>
        <v>81877.92</v>
      </c>
      <c r="J10" s="157">
        <f t="shared" si="0"/>
        <v>6635.34532</v>
      </c>
      <c r="K10" s="157">
        <v>0</v>
      </c>
      <c r="L10" s="157">
        <f>'Приложение 2.4 -КС'!G31</f>
        <v>56642.5</v>
      </c>
      <c r="M10" s="157">
        <f t="shared" si="0"/>
        <v>2479.24</v>
      </c>
      <c r="N10" s="157">
        <f>'Приложение 2.5 -ДС '!G24</f>
        <v>23535.4</v>
      </c>
    </row>
    <row r="11" spans="2:14" ht="31.5">
      <c r="B11" s="456" t="s">
        <v>130</v>
      </c>
      <c r="C11" s="158">
        <v>176</v>
      </c>
      <c r="D11" s="81"/>
      <c r="E11" s="79"/>
      <c r="F11" s="81"/>
      <c r="G11" s="81">
        <v>3057</v>
      </c>
      <c r="H11" s="81">
        <v>72</v>
      </c>
      <c r="I11" s="81">
        <v>600</v>
      </c>
      <c r="J11" s="81">
        <v>543</v>
      </c>
      <c r="K11" s="81">
        <v>0</v>
      </c>
      <c r="L11" s="158">
        <f>J11*9.2</f>
        <v>4995.599999999999</v>
      </c>
      <c r="M11" s="81">
        <v>20</v>
      </c>
      <c r="N11" s="523">
        <f>M11*8.6</f>
        <v>172</v>
      </c>
    </row>
    <row r="12" spans="2:14" s="155" customFormat="1" ht="37.5" customHeight="1" thickBot="1">
      <c r="B12" s="516" t="s">
        <v>154</v>
      </c>
      <c r="C12" s="517">
        <f>G15*C13-464</f>
        <v>12497.199999999999</v>
      </c>
      <c r="D12" s="517"/>
      <c r="E12" s="517">
        <f aca="true" t="shared" si="1" ref="E12:K12">E10+E11</f>
        <v>0</v>
      </c>
      <c r="F12" s="517">
        <f t="shared" si="1"/>
        <v>0</v>
      </c>
      <c r="G12" s="517">
        <f>ROUND(G13*G15-3639,0)</f>
        <v>97890</v>
      </c>
      <c r="H12" s="517">
        <f>H13*G15-867</f>
        <v>23327.24</v>
      </c>
      <c r="I12" s="517">
        <f>I13*G15-3066</f>
        <v>82477.92</v>
      </c>
      <c r="J12" s="517">
        <f>J13*G15-267</f>
        <v>7178.34532</v>
      </c>
      <c r="K12" s="517">
        <f t="shared" si="1"/>
        <v>0</v>
      </c>
      <c r="L12" s="517">
        <f>L10+L11</f>
        <v>61638.1</v>
      </c>
      <c r="M12" s="517">
        <f>M13*G15-93</f>
        <v>2499.24</v>
      </c>
      <c r="N12" s="518">
        <f>'Приложение 2.5 -ДС '!G28</f>
        <v>23707.4</v>
      </c>
    </row>
    <row r="13" spans="2:14" ht="28.5" customHeight="1">
      <c r="B13" s="82" t="s">
        <v>239</v>
      </c>
      <c r="C13" s="226">
        <v>0.3</v>
      </c>
      <c r="D13" s="76"/>
      <c r="E13" s="76"/>
      <c r="F13" s="77"/>
      <c r="G13" s="78">
        <v>2.35</v>
      </c>
      <c r="H13" s="78">
        <v>0.56</v>
      </c>
      <c r="I13" s="78">
        <v>1.98</v>
      </c>
      <c r="J13" s="227">
        <v>0.17233</v>
      </c>
      <c r="K13" s="698">
        <v>0.039</v>
      </c>
      <c r="M13" s="78">
        <v>0.06</v>
      </c>
      <c r="N13" s="76"/>
    </row>
    <row r="14" spans="2:14" ht="30" customHeight="1">
      <c r="B14" s="82" t="s">
        <v>304</v>
      </c>
      <c r="C14" s="734">
        <v>0.289245</v>
      </c>
      <c r="D14" s="735"/>
      <c r="E14" s="735"/>
      <c r="F14" s="735"/>
      <c r="G14" s="734">
        <v>2.265772</v>
      </c>
      <c r="H14" s="734">
        <v>0.53992</v>
      </c>
      <c r="I14" s="734">
        <v>1.909025</v>
      </c>
      <c r="J14" s="734">
        <v>0.166152</v>
      </c>
      <c r="K14" s="734"/>
      <c r="L14" s="736"/>
      <c r="M14" s="734">
        <v>0.057849</v>
      </c>
      <c r="N14" s="735"/>
    </row>
    <row r="15" spans="2:14" ht="30" customHeight="1">
      <c r="B15" s="858" t="s">
        <v>256</v>
      </c>
      <c r="C15" s="858"/>
      <c r="D15" s="56"/>
      <c r="E15" s="76"/>
      <c r="F15" s="77"/>
      <c r="G15" s="10">
        <v>43204</v>
      </c>
      <c r="H15" s="78"/>
      <c r="I15" s="78"/>
      <c r="J15" s="76"/>
      <c r="K15" s="76"/>
      <c r="L15" s="159"/>
      <c r="M15" s="78"/>
      <c r="N15" s="76"/>
    </row>
    <row r="16" ht="59.25" customHeight="1"/>
    <row r="21" ht="12.75">
      <c r="I21" s="57"/>
    </row>
  </sheetData>
  <sheetProtection/>
  <mergeCells count="17">
    <mergeCell ref="K1:N1"/>
    <mergeCell ref="B4:N4"/>
    <mergeCell ref="B6:B8"/>
    <mergeCell ref="C6:D6"/>
    <mergeCell ref="E6:I6"/>
    <mergeCell ref="J6:L6"/>
    <mergeCell ref="M6:N6"/>
    <mergeCell ref="L7:L8"/>
    <mergeCell ref="K7:K8"/>
    <mergeCell ref="C7:C8"/>
    <mergeCell ref="B15:C15"/>
    <mergeCell ref="J7:J8"/>
    <mergeCell ref="M7:M8"/>
    <mergeCell ref="N7:N8"/>
    <mergeCell ref="D7:D8"/>
    <mergeCell ref="E7:E8"/>
    <mergeCell ref="F7:I7"/>
  </mergeCells>
  <printOptions/>
  <pageMargins left="0.43" right="0.2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R45"/>
  <sheetViews>
    <sheetView view="pageBreakPreview" zoomScale="73" zoomScaleNormal="75" zoomScaleSheetLayoutView="73" zoomScalePageLayoutView="0" workbookViewId="0" topLeftCell="A1">
      <selection activeCell="H18" sqref="H18"/>
    </sheetView>
  </sheetViews>
  <sheetFormatPr defaultColWidth="9.140625" defaultRowHeight="15"/>
  <cols>
    <col min="1" max="1" width="3.140625" style="20" customWidth="1"/>
    <col min="2" max="2" width="47.421875" style="20" customWidth="1"/>
    <col min="3" max="3" width="16.57421875" style="59" customWidth="1"/>
    <col min="4" max="4" width="17.421875" style="59" customWidth="1"/>
    <col min="5" max="5" width="18.28125" style="59" customWidth="1"/>
    <col min="6" max="6" width="19.00390625" style="59" customWidth="1"/>
    <col min="7" max="7" width="19.7109375" style="59" customWidth="1"/>
    <col min="8" max="8" width="17.421875" style="20" customWidth="1"/>
    <col min="9" max="9" width="16.28125" style="20" customWidth="1"/>
    <col min="10" max="10" width="21.57421875" style="20" customWidth="1"/>
    <col min="11" max="11" width="25.00390625" style="20" customWidth="1"/>
    <col min="12" max="12" width="18.7109375" style="20" customWidth="1"/>
    <col min="13" max="13" width="15.00390625" style="20" customWidth="1"/>
    <col min="14" max="14" width="16.8515625" style="20" customWidth="1"/>
    <col min="15" max="17" width="13.00390625" style="20" bestFit="1" customWidth="1"/>
    <col min="18" max="18" width="14.28125" style="20" bestFit="1" customWidth="1"/>
    <col min="19" max="16384" width="9.140625" style="20" customWidth="1"/>
  </cols>
  <sheetData>
    <row r="1" spans="4:7" ht="15.75" customHeight="1">
      <c r="D1" s="183"/>
      <c r="E1" s="145" t="s">
        <v>331</v>
      </c>
      <c r="F1" s="145"/>
      <c r="G1" s="145"/>
    </row>
    <row r="2" spans="4:7" ht="45" customHeight="1">
      <c r="D2" s="183"/>
      <c r="E2" s="1036" t="s">
        <v>329</v>
      </c>
      <c r="F2" s="1036"/>
      <c r="G2" s="1036"/>
    </row>
    <row r="3" spans="4:7" ht="21" customHeight="1">
      <c r="D3" s="183"/>
      <c r="E3" s="183"/>
      <c r="F3" s="183"/>
      <c r="G3" s="183"/>
    </row>
    <row r="4" spans="2:7" ht="18.75">
      <c r="B4" s="1094" t="s">
        <v>303</v>
      </c>
      <c r="C4" s="1094"/>
      <c r="D4" s="1094"/>
      <c r="E4" s="1094"/>
      <c r="F4" s="1094"/>
      <c r="G4" s="1094"/>
    </row>
    <row r="5" ht="15.75" thickBot="1"/>
    <row r="6" spans="2:7" ht="19.5" customHeight="1">
      <c r="B6" s="1082" t="s">
        <v>91</v>
      </c>
      <c r="C6" s="1077" t="s">
        <v>98</v>
      </c>
      <c r="D6" s="1078"/>
      <c r="E6" s="1078"/>
      <c r="F6" s="1079"/>
      <c r="G6" s="1080" t="s">
        <v>9</v>
      </c>
    </row>
    <row r="7" spans="2:10" ht="19.5" customHeight="1" thickBot="1">
      <c r="B7" s="1083"/>
      <c r="C7" s="104" t="s">
        <v>120</v>
      </c>
      <c r="D7" s="104" t="s">
        <v>121</v>
      </c>
      <c r="E7" s="104" t="s">
        <v>122</v>
      </c>
      <c r="F7" s="104" t="s">
        <v>123</v>
      </c>
      <c r="G7" s="1081"/>
      <c r="J7" s="21"/>
    </row>
    <row r="8" spans="2:18" ht="19.5" customHeight="1">
      <c r="B8" s="98" t="s">
        <v>90</v>
      </c>
      <c r="C8" s="187">
        <f aca="true" t="shared" si="0" ref="C8:F11">C37+C23</f>
        <v>7048624.59</v>
      </c>
      <c r="D8" s="187">
        <f t="shared" si="0"/>
        <v>7048624.59</v>
      </c>
      <c r="E8" s="187">
        <f t="shared" si="0"/>
        <v>7048624.59</v>
      </c>
      <c r="F8" s="187">
        <f t="shared" si="0"/>
        <v>7048624.59</v>
      </c>
      <c r="G8" s="105">
        <f>SUM(C8:F8)</f>
        <v>28194498.36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19.5" customHeight="1">
      <c r="B9" s="93" t="s">
        <v>124</v>
      </c>
      <c r="C9" s="188">
        <f t="shared" si="0"/>
        <v>41847502.410000004</v>
      </c>
      <c r="D9" s="188">
        <f t="shared" si="0"/>
        <v>41847502.410000004</v>
      </c>
      <c r="E9" s="188">
        <f t="shared" si="0"/>
        <v>41847502.410000004</v>
      </c>
      <c r="F9" s="188">
        <f t="shared" si="0"/>
        <v>41847502.410000004</v>
      </c>
      <c r="G9" s="99">
        <f aca="true" t="shared" si="1" ref="G9:G15">SUM(C9:F9)</f>
        <v>167390009.64000002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2:18" ht="30">
      <c r="B10" s="94" t="s">
        <v>105</v>
      </c>
      <c r="C10" s="188">
        <f t="shared" si="0"/>
        <v>11416224.96</v>
      </c>
      <c r="D10" s="188">
        <f t="shared" si="0"/>
        <v>11416224.96</v>
      </c>
      <c r="E10" s="188">
        <f t="shared" si="0"/>
        <v>11416224.96</v>
      </c>
      <c r="F10" s="188">
        <f t="shared" si="0"/>
        <v>11416224.96</v>
      </c>
      <c r="G10" s="99">
        <f t="shared" si="1"/>
        <v>45664899.84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30">
      <c r="B11" s="94" t="s">
        <v>104</v>
      </c>
      <c r="C11" s="188">
        <f t="shared" si="0"/>
        <v>3482566.4299999997</v>
      </c>
      <c r="D11" s="188">
        <f t="shared" si="0"/>
        <v>3482566.4299999997</v>
      </c>
      <c r="E11" s="188">
        <f t="shared" si="0"/>
        <v>3482566.4299999997</v>
      </c>
      <c r="F11" s="188">
        <f t="shared" si="0"/>
        <v>3482566.4299999997</v>
      </c>
      <c r="G11" s="99">
        <f t="shared" si="1"/>
        <v>13930265.719999999</v>
      </c>
      <c r="L11" s="21"/>
      <c r="M11" s="21"/>
      <c r="N11" s="21"/>
      <c r="O11" s="21"/>
      <c r="P11" s="21"/>
      <c r="Q11" s="21"/>
      <c r="R11" s="21"/>
    </row>
    <row r="12" spans="2:18" ht="30">
      <c r="B12" s="94" t="s">
        <v>127</v>
      </c>
      <c r="C12" s="188">
        <f>C27+C41</f>
        <v>26948711.02</v>
      </c>
      <c r="D12" s="188">
        <f>D27+D41</f>
        <v>26948711.02</v>
      </c>
      <c r="E12" s="188">
        <f>E27+E41</f>
        <v>26948711.02</v>
      </c>
      <c r="F12" s="188">
        <f>F27+F41</f>
        <v>26948711.02</v>
      </c>
      <c r="G12" s="99">
        <f>SUM(C12:F12)</f>
        <v>107794844.08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18" ht="19.5" customHeight="1">
      <c r="B13" s="93" t="s">
        <v>125</v>
      </c>
      <c r="C13" s="188">
        <f>C42+C28</f>
        <v>54325789.7</v>
      </c>
      <c r="D13" s="188">
        <f>D42+D28</f>
        <v>54325789.7</v>
      </c>
      <c r="E13" s="188">
        <f>E42+E28</f>
        <v>54325789.7</v>
      </c>
      <c r="F13" s="188">
        <f>F42+F28</f>
        <v>54325789.7</v>
      </c>
      <c r="G13" s="99">
        <f t="shared" si="1"/>
        <v>217303158.8</v>
      </c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2:18" ht="19.5" customHeight="1" hidden="1">
      <c r="B14" s="93" t="s">
        <v>131</v>
      </c>
      <c r="C14" s="188" t="e">
        <f>#REF!+C43+C29</f>
        <v>#REF!</v>
      </c>
      <c r="D14" s="188" t="e">
        <f>#REF!+D43+D29</f>
        <v>#REF!</v>
      </c>
      <c r="E14" s="188" t="e">
        <f>#REF!+E43+E29</f>
        <v>#REF!</v>
      </c>
      <c r="F14" s="188" t="e">
        <f>#REF!+F43+F29</f>
        <v>#REF!</v>
      </c>
      <c r="G14" s="99" t="e">
        <f t="shared" si="1"/>
        <v>#REF!</v>
      </c>
      <c r="H14" s="23"/>
      <c r="L14" s="21"/>
      <c r="M14" s="21"/>
      <c r="N14" s="21"/>
      <c r="O14" s="21"/>
      <c r="P14" s="21"/>
      <c r="Q14" s="21"/>
      <c r="R14" s="21"/>
    </row>
    <row r="15" spans="2:18" ht="19.5" customHeight="1" thickBot="1">
      <c r="B15" s="95" t="s">
        <v>126</v>
      </c>
      <c r="C15" s="189">
        <f>C44+C30</f>
        <v>9234746.99</v>
      </c>
      <c r="D15" s="189">
        <f>D44+D30</f>
        <v>9234746.99</v>
      </c>
      <c r="E15" s="189">
        <f>E44+E30</f>
        <v>9234746.99</v>
      </c>
      <c r="F15" s="189">
        <f>F44+F30</f>
        <v>9234746.99</v>
      </c>
      <c r="G15" s="99">
        <f t="shared" si="1"/>
        <v>36938987.96</v>
      </c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18" ht="28.5" customHeight="1" thickBot="1">
      <c r="B16" s="96" t="s">
        <v>251</v>
      </c>
      <c r="C16" s="100">
        <f>C8+C12+C10+C11+C13+C15</f>
        <v>112456663.69</v>
      </c>
      <c r="D16" s="100">
        <f>D8+D12+D10+D11+D13+D15</f>
        <v>112456663.69</v>
      </c>
      <c r="E16" s="100">
        <f>E8+E12+E10+E11+E13+E15</f>
        <v>112456663.69</v>
      </c>
      <c r="F16" s="100">
        <f>F8+F12+F10+F11+F13+F15</f>
        <v>112456663.69</v>
      </c>
      <c r="G16" s="101">
        <f>G8+G12+G10+G11+G13+G15</f>
        <v>449826654.76</v>
      </c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ht="15">
      <c r="H17" s="23"/>
    </row>
    <row r="18" spans="2:9" ht="15">
      <c r="B18" s="1076" t="s">
        <v>87</v>
      </c>
      <c r="C18" s="1076"/>
      <c r="D18" s="1076"/>
      <c r="E18" s="1076"/>
      <c r="F18" s="1076"/>
      <c r="G18" s="1076"/>
      <c r="H18" s="53"/>
      <c r="I18" s="22"/>
    </row>
    <row r="19" spans="2:8" ht="21" customHeight="1" thickBot="1">
      <c r="B19" s="1046"/>
      <c r="C19" s="1046"/>
      <c r="D19" s="1046"/>
      <c r="E19" s="1046"/>
      <c r="F19" s="1046"/>
      <c r="G19" s="1046"/>
      <c r="H19" s="23"/>
    </row>
    <row r="20" spans="2:8" ht="30.75" customHeight="1">
      <c r="B20" s="1085" t="s">
        <v>46</v>
      </c>
      <c r="C20" s="1086"/>
      <c r="D20" s="1086"/>
      <c r="E20" s="1086"/>
      <c r="F20" s="1086"/>
      <c r="G20" s="1087"/>
      <c r="H20" s="23"/>
    </row>
    <row r="21" spans="2:8" ht="19.5" customHeight="1">
      <c r="B21" s="1084" t="s">
        <v>91</v>
      </c>
      <c r="C21" s="1090" t="s">
        <v>98</v>
      </c>
      <c r="D21" s="1091"/>
      <c r="E21" s="1091"/>
      <c r="F21" s="1092"/>
      <c r="G21" s="1093" t="s">
        <v>9</v>
      </c>
      <c r="H21" s="23"/>
    </row>
    <row r="22" spans="2:8" ht="19.5" customHeight="1" thickBot="1">
      <c r="B22" s="1083"/>
      <c r="C22" s="104" t="s">
        <v>120</v>
      </c>
      <c r="D22" s="104" t="s">
        <v>121</v>
      </c>
      <c r="E22" s="104" t="s">
        <v>122</v>
      </c>
      <c r="F22" s="104" t="s">
        <v>123</v>
      </c>
      <c r="G22" s="1089"/>
      <c r="H22" s="23"/>
    </row>
    <row r="23" spans="2:8" ht="19.5" customHeight="1">
      <c r="B23" s="98" t="s">
        <v>90</v>
      </c>
      <c r="C23" s="187">
        <f>'приложение 3'!D8/4</f>
        <v>95713.20000000001</v>
      </c>
      <c r="D23" s="187">
        <f>'приложение 3'!D8/4</f>
        <v>95713.20000000001</v>
      </c>
      <c r="E23" s="187">
        <f>'приложение 3'!D8/4</f>
        <v>95713.20000000001</v>
      </c>
      <c r="F23" s="187">
        <f>'приложение 3'!D8/4</f>
        <v>95713.20000000001</v>
      </c>
      <c r="G23" s="105">
        <f>SUM(C23:F23)</f>
        <v>382852.80000000005</v>
      </c>
      <c r="H23" s="23"/>
    </row>
    <row r="24" spans="2:8" ht="19.5" customHeight="1" hidden="1">
      <c r="B24" s="93" t="s">
        <v>124</v>
      </c>
      <c r="C24" s="188">
        <f>SUM(C25:C27)</f>
        <v>543117.0824999999</v>
      </c>
      <c r="D24" s="188">
        <f>SUM(D25:D27)</f>
        <v>543117.0824999999</v>
      </c>
      <c r="E24" s="188">
        <f>SUM(E25:E27)</f>
        <v>543117.0824999999</v>
      </c>
      <c r="F24" s="188">
        <f>SUM(F25:F27)</f>
        <v>543117.0824999999</v>
      </c>
      <c r="G24" s="99">
        <f aca="true" t="shared" si="2" ref="G24:G30">SUM(C24:F24)</f>
        <v>2172468.3299999996</v>
      </c>
      <c r="H24" s="23"/>
    </row>
    <row r="25" spans="2:7" ht="30">
      <c r="B25" s="94" t="s">
        <v>105</v>
      </c>
      <c r="C25" s="188">
        <f>'приложение 3'!D10/4</f>
        <v>343736.7225</v>
      </c>
      <c r="D25" s="188">
        <f>'приложение 3'!D10/4</f>
        <v>343736.7225</v>
      </c>
      <c r="E25" s="188">
        <f>'приложение 3'!D10/4</f>
        <v>343736.7225</v>
      </c>
      <c r="F25" s="188">
        <f>'приложение 3'!D10/4</f>
        <v>343736.7225</v>
      </c>
      <c r="G25" s="99">
        <f t="shared" si="2"/>
        <v>1374946.89</v>
      </c>
    </row>
    <row r="26" spans="2:7" ht="30">
      <c r="B26" s="94" t="s">
        <v>104</v>
      </c>
      <c r="C26" s="188">
        <f>'приложение 3'!D19/4</f>
        <v>10363.86</v>
      </c>
      <c r="D26" s="188">
        <f>'приложение 3'!D19/4</f>
        <v>10363.86</v>
      </c>
      <c r="E26" s="188">
        <f>'приложение 3'!D19/4</f>
        <v>10363.86</v>
      </c>
      <c r="F26" s="188">
        <f>'приложение 3'!D19/4</f>
        <v>10363.86</v>
      </c>
      <c r="G26" s="99">
        <f t="shared" si="2"/>
        <v>41455.44</v>
      </c>
    </row>
    <row r="27" spans="2:8" ht="30">
      <c r="B27" s="94" t="s">
        <v>127</v>
      </c>
      <c r="C27" s="188">
        <f>'приложение 3'!D15/4</f>
        <v>189016.49999999997</v>
      </c>
      <c r="D27" s="188">
        <f>'приложение 3'!D15/4</f>
        <v>189016.49999999997</v>
      </c>
      <c r="E27" s="188">
        <f>'приложение 3'!D15/4</f>
        <v>189016.49999999997</v>
      </c>
      <c r="F27" s="188">
        <f>'приложение 3'!D15/4</f>
        <v>189016.49999999997</v>
      </c>
      <c r="G27" s="99">
        <f>SUM(C27:F27)</f>
        <v>756065.9999999999</v>
      </c>
      <c r="H27" s="23"/>
    </row>
    <row r="28" spans="2:7" ht="19.5" customHeight="1">
      <c r="B28" s="93" t="s">
        <v>125</v>
      </c>
      <c r="C28" s="188">
        <f>'приложение 3'!D21/4</f>
        <v>5978009.7975</v>
      </c>
      <c r="D28" s="188">
        <f>'приложение 3'!D21/4</f>
        <v>5978009.7975</v>
      </c>
      <c r="E28" s="188">
        <f>'приложение 3'!D21/4</f>
        <v>5978009.7975</v>
      </c>
      <c r="F28" s="188">
        <f>'приложение 3'!D21/4</f>
        <v>5978009.7975</v>
      </c>
      <c r="G28" s="99">
        <f>SUM(C28:F28)</f>
        <v>23912039.19</v>
      </c>
    </row>
    <row r="29" spans="2:7" ht="19.5" customHeight="1" hidden="1">
      <c r="B29" s="93" t="s">
        <v>131</v>
      </c>
      <c r="C29" s="188"/>
      <c r="D29" s="188"/>
      <c r="E29" s="188"/>
      <c r="F29" s="188"/>
      <c r="G29" s="99">
        <f t="shared" si="2"/>
        <v>0</v>
      </c>
    </row>
    <row r="30" spans="2:7" ht="19.5" customHeight="1" thickBot="1">
      <c r="B30" s="97" t="s">
        <v>126</v>
      </c>
      <c r="C30" s="190">
        <f>'приложение 3'!D25/4</f>
        <v>71659.92</v>
      </c>
      <c r="D30" s="190">
        <f>'приложение 3'!D25/4</f>
        <v>71659.92</v>
      </c>
      <c r="E30" s="190">
        <f>'приложение 3'!D25/4</f>
        <v>71659.92</v>
      </c>
      <c r="F30" s="190">
        <f>'приложение 3'!D25/4</f>
        <v>71659.92</v>
      </c>
      <c r="G30" s="102">
        <f t="shared" si="2"/>
        <v>286639.68</v>
      </c>
    </row>
    <row r="31" spans="2:7" ht="31.5" customHeight="1" thickBot="1">
      <c r="B31" s="96" t="s">
        <v>9</v>
      </c>
      <c r="C31" s="100">
        <f>C23+C24+C27+C28+C30</f>
        <v>6877516.5</v>
      </c>
      <c r="D31" s="100">
        <f>D23+D24+D27+D28+D30</f>
        <v>6877516.5</v>
      </c>
      <c r="E31" s="100">
        <f>E23+E24+E27+E28+E30</f>
        <v>6877516.5</v>
      </c>
      <c r="F31" s="100">
        <f>F23+F24+F27+F28+F30</f>
        <v>6877516.5</v>
      </c>
      <c r="G31" s="101">
        <f>G23+G25+G26+G27+G28+G30</f>
        <v>26754000</v>
      </c>
    </row>
    <row r="32" spans="2:8" ht="15">
      <c r="B32" s="23"/>
      <c r="C32" s="103"/>
      <c r="D32" s="103"/>
      <c r="E32" s="103"/>
      <c r="F32" s="103"/>
      <c r="G32" s="103"/>
      <c r="H32" s="23"/>
    </row>
    <row r="33" spans="2:7" ht="15" customHeight="1">
      <c r="B33" s="1046" t="s">
        <v>160</v>
      </c>
      <c r="C33" s="1046"/>
      <c r="D33" s="1046"/>
      <c r="E33" s="1046"/>
      <c r="F33" s="1046"/>
      <c r="G33" s="1046"/>
    </row>
    <row r="34" spans="2:7" ht="15.75" thickBot="1">
      <c r="B34" s="1046"/>
      <c r="C34" s="1046"/>
      <c r="D34" s="1046"/>
      <c r="E34" s="1046"/>
      <c r="F34" s="1046"/>
      <c r="G34" s="1046"/>
    </row>
    <row r="35" spans="2:7" ht="19.5" customHeight="1">
      <c r="B35" s="1082" t="s">
        <v>91</v>
      </c>
      <c r="C35" s="1077" t="s">
        <v>98</v>
      </c>
      <c r="D35" s="1078"/>
      <c r="E35" s="1078"/>
      <c r="F35" s="1079"/>
      <c r="G35" s="1088" t="s">
        <v>9</v>
      </c>
    </row>
    <row r="36" spans="2:10" ht="19.5" customHeight="1" thickBot="1">
      <c r="B36" s="1083"/>
      <c r="C36" s="104" t="s">
        <v>120</v>
      </c>
      <c r="D36" s="104" t="s">
        <v>121</v>
      </c>
      <c r="E36" s="104" t="s">
        <v>122</v>
      </c>
      <c r="F36" s="104" t="s">
        <v>123</v>
      </c>
      <c r="G36" s="1089"/>
      <c r="J36" s="21"/>
    </row>
    <row r="37" spans="2:18" ht="19.5" customHeight="1">
      <c r="B37" s="98" t="s">
        <v>90</v>
      </c>
      <c r="C37" s="187">
        <f>'приложение 3'!G8/4</f>
        <v>6952911.39</v>
      </c>
      <c r="D37" s="187">
        <f>'приложение 3'!G8/4</f>
        <v>6952911.39</v>
      </c>
      <c r="E37" s="187">
        <f>'приложение 3'!G8/4</f>
        <v>6952911.39</v>
      </c>
      <c r="F37" s="187">
        <f>'приложение 3'!G8/4</f>
        <v>6952911.39</v>
      </c>
      <c r="G37" s="105">
        <f aca="true" t="shared" si="3" ref="G37:G44">C37+D37+E37+F37</f>
        <v>27811645.56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ht="19.5" customHeight="1" hidden="1">
      <c r="B38" s="93" t="s">
        <v>124</v>
      </c>
      <c r="C38" s="188">
        <f>C41+C39+C40</f>
        <v>41304385.3275</v>
      </c>
      <c r="D38" s="188">
        <f>D41+D39+D40</f>
        <v>41304385.3275</v>
      </c>
      <c r="E38" s="188">
        <f>E41+E39+E40</f>
        <v>41304385.3275</v>
      </c>
      <c r="F38" s="188">
        <f>F41+F39+F40</f>
        <v>41304385.3275</v>
      </c>
      <c r="G38" s="99">
        <f t="shared" si="3"/>
        <v>165217541.31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2:18" ht="30">
      <c r="B39" s="94" t="s">
        <v>105</v>
      </c>
      <c r="C39" s="188">
        <f>'приложение 3'!G10/4</f>
        <v>11072488.2375</v>
      </c>
      <c r="D39" s="188">
        <f>'приложение 3'!G10/4</f>
        <v>11072488.2375</v>
      </c>
      <c r="E39" s="188">
        <f>'приложение 3'!G10/4</f>
        <v>11072488.2375</v>
      </c>
      <c r="F39" s="188">
        <f>'приложение 3'!G10/4</f>
        <v>11072488.2375</v>
      </c>
      <c r="G39" s="99">
        <f t="shared" si="3"/>
        <v>44289952.95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2:18" ht="30">
      <c r="B40" s="94" t="s">
        <v>104</v>
      </c>
      <c r="C40" s="188">
        <f>'приложение 3'!G19/4</f>
        <v>3472202.57</v>
      </c>
      <c r="D40" s="188">
        <f>'приложение 3'!G19/4</f>
        <v>3472202.57</v>
      </c>
      <c r="E40" s="188">
        <f>'приложение 3'!G19/4</f>
        <v>3472202.57</v>
      </c>
      <c r="F40" s="188">
        <f>'приложение 3'!G19/4</f>
        <v>3472202.57</v>
      </c>
      <c r="G40" s="99">
        <f t="shared" si="3"/>
        <v>13888810.28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2:18" ht="30">
      <c r="B41" s="94" t="s">
        <v>127</v>
      </c>
      <c r="C41" s="188">
        <f>'приложение 3'!G15/4</f>
        <v>26759694.52</v>
      </c>
      <c r="D41" s="188">
        <f>'приложение 3'!G15/4</f>
        <v>26759694.52</v>
      </c>
      <c r="E41" s="188">
        <f>'приложение 3'!G15/4</f>
        <v>26759694.52</v>
      </c>
      <c r="F41" s="188">
        <f>'приложение 3'!G15/4</f>
        <v>26759694.52</v>
      </c>
      <c r="G41" s="99">
        <f>C41+D41+E41+F41</f>
        <v>107038778.08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2:18" ht="19.5" customHeight="1">
      <c r="B42" s="93" t="s">
        <v>125</v>
      </c>
      <c r="C42" s="188">
        <f>'приложение 3'!G21/4</f>
        <v>48347779.9025</v>
      </c>
      <c r="D42" s="188">
        <f>'приложение 3'!G21/4</f>
        <v>48347779.9025</v>
      </c>
      <c r="E42" s="188">
        <f>'приложение 3'!G21/4</f>
        <v>48347779.9025</v>
      </c>
      <c r="F42" s="188">
        <f>'приложение 3'!G21/4</f>
        <v>48347779.9025</v>
      </c>
      <c r="G42" s="99">
        <f t="shared" si="3"/>
        <v>193391119.61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2:18" ht="19.5" customHeight="1" hidden="1">
      <c r="B43" s="93" t="s">
        <v>131</v>
      </c>
      <c r="C43" s="188"/>
      <c r="D43" s="188"/>
      <c r="E43" s="188"/>
      <c r="F43" s="188"/>
      <c r="G43" s="99">
        <f t="shared" si="3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2:18" ht="19.5" customHeight="1" thickBot="1">
      <c r="B44" s="97" t="s">
        <v>126</v>
      </c>
      <c r="C44" s="190">
        <f>'приложение 3'!G25/4</f>
        <v>9163087.07</v>
      </c>
      <c r="D44" s="190">
        <f>'приложение 3'!G25/4</f>
        <v>9163087.07</v>
      </c>
      <c r="E44" s="190">
        <f>'приложение 3'!G25/4</f>
        <v>9163087.07</v>
      </c>
      <c r="F44" s="190">
        <f>'приложение 3'!G25/4</f>
        <v>9163087.07</v>
      </c>
      <c r="G44" s="102">
        <f t="shared" si="3"/>
        <v>36652348.28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7" ht="36" customHeight="1" thickBot="1">
      <c r="B45" s="96" t="s">
        <v>9</v>
      </c>
      <c r="C45" s="100">
        <f>C37+C41+C39+C40+C42+C43+C44</f>
        <v>105768163.69</v>
      </c>
      <c r="D45" s="100">
        <f>D37+D41+D39+D40+D42+D43+D44</f>
        <v>105768163.69</v>
      </c>
      <c r="E45" s="100">
        <f>E37+E41+E39+E40+E42+E43+E44</f>
        <v>105768163.69</v>
      </c>
      <c r="F45" s="100">
        <f>F37+F41+F39+F40+F42+F43+F44</f>
        <v>105768163.69</v>
      </c>
      <c r="G45" s="101">
        <f>C45+D45+E45+F45</f>
        <v>423072654.76</v>
      </c>
    </row>
  </sheetData>
  <sheetProtection/>
  <mergeCells count="14">
    <mergeCell ref="E2:G2"/>
    <mergeCell ref="G35:G36"/>
    <mergeCell ref="C35:F35"/>
    <mergeCell ref="C21:F21"/>
    <mergeCell ref="G21:G22"/>
    <mergeCell ref="B4:G4"/>
    <mergeCell ref="B18:G19"/>
    <mergeCell ref="C6:F6"/>
    <mergeCell ref="G6:G7"/>
    <mergeCell ref="B6:B7"/>
    <mergeCell ref="B21:B22"/>
    <mergeCell ref="B35:B36"/>
    <mergeCell ref="B20:G20"/>
    <mergeCell ref="B33:G34"/>
  </mergeCells>
  <printOptions/>
  <pageMargins left="0.7086614173228347" right="0.16" top="0.34" bottom="0.28" header="0.31496062992125984" footer="0.31496062992125984"/>
  <pageSetup fitToHeight="5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B1:BN22"/>
  <sheetViews>
    <sheetView zoomScalePageLayoutView="0" workbookViewId="0" topLeftCell="A19">
      <selection activeCell="D5" sqref="D5:E5"/>
    </sheetView>
  </sheetViews>
  <sheetFormatPr defaultColWidth="9.140625" defaultRowHeight="15"/>
  <cols>
    <col min="1" max="1" width="1.8515625" style="0" customWidth="1"/>
    <col min="2" max="2" width="65.140625" style="0" customWidth="1"/>
    <col min="3" max="3" width="6.28125" style="0" customWidth="1"/>
    <col min="4" max="4" width="17.140625" style="722" customWidth="1"/>
    <col min="5" max="5" width="15.7109375" style="0" customWidth="1"/>
    <col min="6" max="89" width="9.140625" style="194" customWidth="1"/>
  </cols>
  <sheetData>
    <row r="1" spans="3:5" ht="70.5" customHeight="1">
      <c r="C1" s="1095" t="s">
        <v>332</v>
      </c>
      <c r="D1" s="1095"/>
      <c r="E1" s="1095"/>
    </row>
    <row r="3" spans="2:5" ht="30" customHeight="1">
      <c r="B3" s="1098" t="s">
        <v>281</v>
      </c>
      <c r="C3" s="1098"/>
      <c r="D3" s="1098"/>
      <c r="E3" s="1098"/>
    </row>
    <row r="4" ht="15.75" thickBot="1"/>
    <row r="5" spans="2:65" ht="45" customHeight="1">
      <c r="B5" s="1099"/>
      <c r="C5" s="1101"/>
      <c r="D5" s="1103" t="s">
        <v>282</v>
      </c>
      <c r="E5" s="1104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</row>
    <row r="6" spans="2:59" ht="48" customHeight="1" thickBot="1">
      <c r="B6" s="1100"/>
      <c r="C6" s="1102"/>
      <c r="D6" s="723" t="s">
        <v>283</v>
      </c>
      <c r="E6" s="591" t="s">
        <v>284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</row>
    <row r="7" spans="2:59" ht="15.75" thickBot="1">
      <c r="B7" s="223">
        <v>1</v>
      </c>
      <c r="C7" s="224">
        <v>2</v>
      </c>
      <c r="D7" s="724">
        <v>3</v>
      </c>
      <c r="E7" s="225">
        <v>4</v>
      </c>
      <c r="F7" s="193"/>
      <c r="G7" s="193"/>
      <c r="H7" s="193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</row>
    <row r="8" spans="2:66" ht="42.75" customHeight="1">
      <c r="B8" s="220" t="s">
        <v>169</v>
      </c>
      <c r="C8" s="221" t="s">
        <v>170</v>
      </c>
      <c r="D8" s="725">
        <f>D9+D10</f>
        <v>454903.60000000003</v>
      </c>
      <c r="E8" s="222">
        <f>E9+E10</f>
        <v>10529.200999907416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</row>
    <row r="9" spans="2:66" ht="19.5" customHeight="1">
      <c r="B9" s="197" t="s">
        <v>285</v>
      </c>
      <c r="C9" s="202" t="s">
        <v>132</v>
      </c>
      <c r="D9" s="726"/>
      <c r="E9" s="205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</row>
    <row r="10" spans="2:66" ht="28.5" customHeight="1">
      <c r="B10" s="197" t="s">
        <v>286</v>
      </c>
      <c r="C10" s="202" t="s">
        <v>133</v>
      </c>
      <c r="D10" s="726">
        <f>D11</f>
        <v>454903.60000000003</v>
      </c>
      <c r="E10" s="206">
        <f>E11</f>
        <v>10529.200999907416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</row>
    <row r="11" spans="2:66" ht="37.5" customHeight="1">
      <c r="B11" s="201" t="s">
        <v>287</v>
      </c>
      <c r="C11" s="202" t="s">
        <v>134</v>
      </c>
      <c r="D11" s="727">
        <f>D12+D13+D14</f>
        <v>454903.60000000003</v>
      </c>
      <c r="E11" s="203">
        <f>E12+E13+E14</f>
        <v>10529.200999907416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</row>
    <row r="12" spans="2:66" ht="19.5" customHeight="1">
      <c r="B12" s="198" t="s">
        <v>288</v>
      </c>
      <c r="C12" s="202" t="s">
        <v>135</v>
      </c>
      <c r="D12" s="728">
        <f>'Приложение 7 УСТП_2017'!I11</f>
        <v>454903.60000000003</v>
      </c>
      <c r="E12" s="207">
        <f>D12/43204*1000</f>
        <v>10529.200999907416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</row>
    <row r="13" spans="2:66" ht="39" customHeight="1">
      <c r="B13" s="198" t="s">
        <v>171</v>
      </c>
      <c r="C13" s="202" t="s">
        <v>136</v>
      </c>
      <c r="D13" s="728">
        <v>0</v>
      </c>
      <c r="E13" s="208">
        <v>0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</row>
    <row r="14" spans="2:66" ht="24" customHeight="1">
      <c r="B14" s="199" t="s">
        <v>139</v>
      </c>
      <c r="C14" s="202" t="s">
        <v>137</v>
      </c>
      <c r="D14" s="729">
        <v>0</v>
      </c>
      <c r="E14" s="209">
        <v>0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</row>
    <row r="15" spans="2:66" ht="52.5" customHeight="1">
      <c r="B15" s="200" t="s">
        <v>289</v>
      </c>
      <c r="C15" s="202" t="s">
        <v>138</v>
      </c>
      <c r="D15" s="730">
        <f>D16+D17</f>
        <v>0</v>
      </c>
      <c r="E15" s="204">
        <f>E16+E17</f>
        <v>0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</row>
    <row r="16" spans="2:66" ht="54.75" customHeight="1">
      <c r="B16" s="592" t="s">
        <v>172</v>
      </c>
      <c r="C16" s="202" t="s">
        <v>140</v>
      </c>
      <c r="D16" s="731">
        <v>0</v>
      </c>
      <c r="E16" s="210">
        <v>0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</row>
    <row r="17" spans="2:66" ht="74.25" customHeight="1" thickBot="1">
      <c r="B17" s="593" t="s">
        <v>173</v>
      </c>
      <c r="C17" s="218" t="s">
        <v>141</v>
      </c>
      <c r="D17" s="732">
        <v>0</v>
      </c>
      <c r="E17" s="219">
        <v>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</row>
    <row r="18" spans="2:11" ht="41.25" customHeight="1">
      <c r="B18" s="1096" t="s">
        <v>290</v>
      </c>
      <c r="C18" s="1096"/>
      <c r="D18" s="1096"/>
      <c r="E18" s="1096"/>
      <c r="F18" s="594"/>
      <c r="G18" s="594"/>
      <c r="H18" s="594"/>
      <c r="I18" s="594"/>
      <c r="J18" s="594"/>
      <c r="K18" s="594"/>
    </row>
    <row r="19" spans="2:11" ht="37.5" customHeight="1">
      <c r="B19" s="1097" t="s">
        <v>291</v>
      </c>
      <c r="C19" s="1097"/>
      <c r="D19" s="1097"/>
      <c r="E19" s="1097"/>
      <c r="F19" s="595"/>
      <c r="G19" s="595"/>
      <c r="H19" s="595"/>
      <c r="I19" s="595"/>
      <c r="J19" s="595"/>
      <c r="K19" s="595"/>
    </row>
    <row r="21" spans="2:5" ht="51">
      <c r="B21" s="597" t="s">
        <v>292</v>
      </c>
      <c r="C21" s="596"/>
      <c r="D21" s="723" t="s">
        <v>283</v>
      </c>
      <c r="E21" s="591" t="s">
        <v>293</v>
      </c>
    </row>
    <row r="22" spans="2:5" ht="15">
      <c r="B22" s="596" t="s">
        <v>294</v>
      </c>
      <c r="C22" s="596"/>
      <c r="D22" s="733">
        <v>22835.6</v>
      </c>
      <c r="E22" s="596">
        <v>528.55</v>
      </c>
    </row>
  </sheetData>
  <sheetProtection/>
  <mergeCells count="7">
    <mergeCell ref="C1:E1"/>
    <mergeCell ref="B18:E18"/>
    <mergeCell ref="B19:E19"/>
    <mergeCell ref="B3:E3"/>
    <mergeCell ref="B5:B6"/>
    <mergeCell ref="C5:C6"/>
    <mergeCell ref="D5:E5"/>
  </mergeCells>
  <printOptions/>
  <pageMargins left="0.75" right="0.23" top="0.82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4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0.85546875" defaultRowHeight="15"/>
  <cols>
    <col min="1" max="1" width="38.140625" style="30" customWidth="1"/>
    <col min="2" max="2" width="9.421875" style="601" customWidth="1"/>
    <col min="3" max="3" width="21.57421875" style="30" customWidth="1"/>
    <col min="4" max="4" width="17.140625" style="30" customWidth="1"/>
    <col min="5" max="5" width="20.140625" style="30" customWidth="1"/>
    <col min="6" max="6" width="15.140625" style="30" customWidth="1"/>
    <col min="7" max="7" width="12.421875" style="30" customWidth="1"/>
    <col min="8" max="8" width="13.7109375" style="30" customWidth="1"/>
    <col min="9" max="9" width="13.140625" style="184" customWidth="1"/>
    <col min="10" max="10" width="9.8515625" style="30" customWidth="1"/>
    <col min="11" max="134" width="0.85546875" style="30" customWidth="1"/>
    <col min="135" max="135" width="0.71875" style="30" customWidth="1"/>
    <col min="136" max="136" width="0" style="30" hidden="1" customWidth="1"/>
    <col min="137" max="137" width="0.2890625" style="30" customWidth="1"/>
    <col min="138" max="139" width="0.85546875" style="30" customWidth="1"/>
    <col min="140" max="140" width="0.42578125" style="30" customWidth="1"/>
    <col min="141" max="145" width="0.85546875" style="30" customWidth="1"/>
    <col min="146" max="146" width="6.140625" style="30" customWidth="1"/>
    <col min="147" max="154" width="0.85546875" style="30" customWidth="1"/>
    <col min="155" max="155" width="0.2890625" style="30" customWidth="1"/>
    <col min="156" max="163" width="0.85546875" style="30" customWidth="1"/>
    <col min="164" max="164" width="0" style="30" hidden="1" customWidth="1"/>
    <col min="165" max="167" width="0.85546875" style="30" customWidth="1"/>
    <col min="168" max="168" width="5.28125" style="30" customWidth="1"/>
    <col min="169" max="201" width="0.85546875" style="30" customWidth="1"/>
    <col min="202" max="202" width="7.28125" style="30" customWidth="1"/>
    <col min="203" max="16384" width="0.85546875" style="30" customWidth="1"/>
  </cols>
  <sheetData>
    <row r="1" spans="7:11" ht="51" customHeight="1">
      <c r="G1" s="1117" t="s">
        <v>333</v>
      </c>
      <c r="H1" s="1117"/>
      <c r="I1" s="1117"/>
      <c r="J1" s="1117"/>
      <c r="K1" s="1117"/>
    </row>
    <row r="2" spans="7:11" ht="13.5" customHeight="1">
      <c r="G2" s="191"/>
      <c r="H2" s="191"/>
      <c r="I2" s="191"/>
      <c r="J2" s="191"/>
      <c r="K2" s="191"/>
    </row>
    <row r="3" spans="1:11" ht="14.25" customHeight="1">
      <c r="A3" s="1118" t="s">
        <v>174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</row>
    <row r="4" spans="1:11" ht="14.25" customHeight="1">
      <c r="A4" s="1118" t="s">
        <v>10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</row>
    <row r="5" spans="1:11" ht="14.25" customHeight="1">
      <c r="A5" s="1118" t="s">
        <v>277</v>
      </c>
      <c r="B5" s="1118"/>
      <c r="C5" s="1118"/>
      <c r="D5" s="1118"/>
      <c r="E5" s="1118"/>
      <c r="F5" s="1118"/>
      <c r="G5" s="1118"/>
      <c r="H5" s="1118"/>
      <c r="I5" s="1118"/>
      <c r="J5" s="1118"/>
      <c r="K5" s="1118"/>
    </row>
    <row r="6" ht="8.25" customHeight="1"/>
    <row r="7" spans="1:10" s="28" customFormat="1" ht="52.5" customHeight="1">
      <c r="A7" s="1110"/>
      <c r="B7" s="1105" t="s">
        <v>142</v>
      </c>
      <c r="C7" s="1105" t="s">
        <v>143</v>
      </c>
      <c r="D7" s="1105" t="s">
        <v>175</v>
      </c>
      <c r="E7" s="1105" t="s">
        <v>144</v>
      </c>
      <c r="F7" s="1108" t="s">
        <v>176</v>
      </c>
      <c r="G7" s="1109"/>
      <c r="H7" s="1108" t="s">
        <v>145</v>
      </c>
      <c r="I7" s="1116"/>
      <c r="J7" s="1110" t="s">
        <v>147</v>
      </c>
    </row>
    <row r="8" spans="1:10" s="28" customFormat="1" ht="15" customHeight="1">
      <c r="A8" s="1110"/>
      <c r="B8" s="1106"/>
      <c r="C8" s="1106"/>
      <c r="D8" s="1106"/>
      <c r="E8" s="1106"/>
      <c r="F8" s="1108" t="s">
        <v>146</v>
      </c>
      <c r="G8" s="1109"/>
      <c r="H8" s="1108" t="s">
        <v>295</v>
      </c>
      <c r="I8" s="1109"/>
      <c r="J8" s="1110"/>
    </row>
    <row r="9" spans="1:10" s="28" customFormat="1" ht="61.5" customHeight="1">
      <c r="A9" s="1110"/>
      <c r="B9" s="1107"/>
      <c r="C9" s="1107"/>
      <c r="D9" s="1107"/>
      <c r="E9" s="1107"/>
      <c r="F9" s="43" t="s">
        <v>177</v>
      </c>
      <c r="G9" s="43" t="s">
        <v>178</v>
      </c>
      <c r="H9" s="44" t="s">
        <v>179</v>
      </c>
      <c r="I9" s="185" t="s">
        <v>180</v>
      </c>
      <c r="J9" s="1110"/>
    </row>
    <row r="10" spans="1:10" ht="12" customHeight="1">
      <c r="A10" s="36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186">
        <v>8</v>
      </c>
      <c r="J10" s="39">
        <v>9</v>
      </c>
    </row>
    <row r="11" spans="1:10" s="3" customFormat="1" ht="25.5" customHeight="1">
      <c r="A11" s="33" t="s">
        <v>148</v>
      </c>
      <c r="B11" s="602" t="s">
        <v>182</v>
      </c>
      <c r="C11" s="37"/>
      <c r="D11" s="25" t="s">
        <v>89</v>
      </c>
      <c r="E11" s="25" t="s">
        <v>89</v>
      </c>
      <c r="F11" s="25" t="s">
        <v>89</v>
      </c>
      <c r="G11" s="40">
        <f>G12+G13+G14+G15+G16+G19+G20+G21</f>
        <v>10529.2</v>
      </c>
      <c r="H11" s="25" t="s">
        <v>89</v>
      </c>
      <c r="I11" s="701">
        <f>I12+I13+I14+I15+I16+I19+I20+I21</f>
        <v>454903.60000000003</v>
      </c>
      <c r="J11" s="495">
        <v>1</v>
      </c>
    </row>
    <row r="12" spans="1:10" s="4" customFormat="1" ht="27" customHeight="1">
      <c r="A12" s="34" t="s">
        <v>232</v>
      </c>
      <c r="B12" s="603" t="s">
        <v>183</v>
      </c>
      <c r="C12" s="38" t="s">
        <v>149</v>
      </c>
      <c r="D12" s="776">
        <f>D23</f>
        <v>0.289245</v>
      </c>
      <c r="E12" s="41">
        <f>E23+E32</f>
        <v>2256.05522741094</v>
      </c>
      <c r="F12" s="26" t="s">
        <v>89</v>
      </c>
      <c r="G12" s="41">
        <f aca="true" t="shared" si="0" ref="G12:G19">G23+G32</f>
        <v>652.59</v>
      </c>
      <c r="H12" s="26" t="s">
        <v>89</v>
      </c>
      <c r="I12" s="702">
        <f>I23+I32</f>
        <v>28194.5</v>
      </c>
      <c r="J12" s="496" t="s">
        <v>89</v>
      </c>
    </row>
    <row r="13" spans="1:10" s="4" customFormat="1" ht="38.25" customHeight="1">
      <c r="A13" s="598" t="s">
        <v>181</v>
      </c>
      <c r="B13" s="603" t="s">
        <v>184</v>
      </c>
      <c r="C13" s="45" t="s">
        <v>296</v>
      </c>
      <c r="D13" s="1119">
        <f aca="true" t="shared" si="1" ref="D13:E19">D24+D33</f>
        <v>2.265772</v>
      </c>
      <c r="E13" s="46">
        <f t="shared" si="1"/>
        <v>466.49197916028197</v>
      </c>
      <c r="F13" s="26" t="s">
        <v>89</v>
      </c>
      <c r="G13" s="46">
        <f t="shared" si="0"/>
        <v>1056.96</v>
      </c>
      <c r="H13" s="26" t="s">
        <v>89</v>
      </c>
      <c r="I13" s="704">
        <f aca="true" t="shared" si="2" ref="I13:I19">I24+I33</f>
        <v>45665.1</v>
      </c>
      <c r="J13" s="496" t="s">
        <v>89</v>
      </c>
    </row>
    <row r="14" spans="1:10" s="4" customFormat="1" ht="45.75" customHeight="1">
      <c r="A14" s="599"/>
      <c r="B14" s="603" t="s">
        <v>186</v>
      </c>
      <c r="C14" s="45" t="s">
        <v>187</v>
      </c>
      <c r="D14" s="1119">
        <f t="shared" si="1"/>
        <v>0.53992</v>
      </c>
      <c r="E14" s="46">
        <f t="shared" si="1"/>
        <v>597.1673339837888</v>
      </c>
      <c r="F14" s="26" t="s">
        <v>89</v>
      </c>
      <c r="G14" s="46">
        <f t="shared" si="0"/>
        <v>322.43</v>
      </c>
      <c r="H14" s="26" t="s">
        <v>89</v>
      </c>
      <c r="I14" s="704">
        <f t="shared" si="2"/>
        <v>13930.2</v>
      </c>
      <c r="J14" s="496" t="s">
        <v>89</v>
      </c>
    </row>
    <row r="15" spans="1:10" s="4" customFormat="1" ht="20.25" customHeight="1">
      <c r="A15" s="600"/>
      <c r="B15" s="603" t="s">
        <v>188</v>
      </c>
      <c r="C15" s="45" t="s">
        <v>150</v>
      </c>
      <c r="D15" s="1119">
        <f t="shared" si="1"/>
        <v>1.909025</v>
      </c>
      <c r="E15" s="46">
        <f t="shared" si="1"/>
        <v>1306.9539590717127</v>
      </c>
      <c r="F15" s="26" t="s">
        <v>89</v>
      </c>
      <c r="G15" s="46">
        <f t="shared" si="0"/>
        <v>2495.02</v>
      </c>
      <c r="H15" s="26" t="s">
        <v>89</v>
      </c>
      <c r="I15" s="704">
        <f t="shared" si="2"/>
        <v>107794.8</v>
      </c>
      <c r="J15" s="496" t="s">
        <v>89</v>
      </c>
    </row>
    <row r="16" spans="1:10" s="4" customFormat="1" ht="27" customHeight="1">
      <c r="A16" s="34" t="s">
        <v>189</v>
      </c>
      <c r="B16" s="603" t="s">
        <v>190</v>
      </c>
      <c r="C16" s="34" t="s">
        <v>159</v>
      </c>
      <c r="D16" s="776">
        <f t="shared" si="1"/>
        <v>0.166152</v>
      </c>
      <c r="E16" s="41">
        <f t="shared" si="1"/>
        <v>3524.1981568705073</v>
      </c>
      <c r="F16" s="26" t="s">
        <v>89</v>
      </c>
      <c r="G16" s="41">
        <f t="shared" si="0"/>
        <v>5029.7</v>
      </c>
      <c r="H16" s="26" t="s">
        <v>89</v>
      </c>
      <c r="I16" s="702">
        <f t="shared" si="2"/>
        <v>217303.1</v>
      </c>
      <c r="J16" s="496" t="s">
        <v>89</v>
      </c>
    </row>
    <row r="17" spans="1:10" s="4" customFormat="1" ht="40.5" customHeight="1">
      <c r="A17" s="34" t="s">
        <v>191</v>
      </c>
      <c r="B17" s="603" t="s">
        <v>192</v>
      </c>
      <c r="C17" s="34" t="s">
        <v>151</v>
      </c>
      <c r="D17" s="776">
        <f t="shared" si="1"/>
        <v>0</v>
      </c>
      <c r="E17" s="41">
        <f t="shared" si="1"/>
        <v>0</v>
      </c>
      <c r="F17" s="26" t="s">
        <v>89</v>
      </c>
      <c r="G17" s="41">
        <f t="shared" si="0"/>
        <v>0</v>
      </c>
      <c r="H17" s="26" t="s">
        <v>89</v>
      </c>
      <c r="I17" s="702">
        <f t="shared" si="2"/>
        <v>0</v>
      </c>
      <c r="J17" s="496" t="s">
        <v>89</v>
      </c>
    </row>
    <row r="18" spans="1:10" s="4" customFormat="1" ht="35.25" customHeight="1">
      <c r="A18" s="35" t="s">
        <v>193</v>
      </c>
      <c r="B18" s="603" t="s">
        <v>194</v>
      </c>
      <c r="C18" s="34" t="s">
        <v>159</v>
      </c>
      <c r="D18" s="776">
        <f t="shared" si="1"/>
        <v>0</v>
      </c>
      <c r="E18" s="41">
        <f t="shared" si="1"/>
        <v>0</v>
      </c>
      <c r="F18" s="26" t="s">
        <v>89</v>
      </c>
      <c r="G18" s="41">
        <f t="shared" si="0"/>
        <v>0</v>
      </c>
      <c r="H18" s="26" t="s">
        <v>89</v>
      </c>
      <c r="I18" s="702">
        <f t="shared" si="2"/>
        <v>0</v>
      </c>
      <c r="J18" s="496" t="s">
        <v>89</v>
      </c>
    </row>
    <row r="19" spans="1:10" s="4" customFormat="1" ht="27" customHeight="1">
      <c r="A19" s="34" t="s">
        <v>195</v>
      </c>
      <c r="B19" s="603" t="s">
        <v>196</v>
      </c>
      <c r="C19" s="34" t="s">
        <v>237</v>
      </c>
      <c r="D19" s="776">
        <f t="shared" si="1"/>
        <v>0.057849</v>
      </c>
      <c r="E19" s="41">
        <f t="shared" si="1"/>
        <v>14780.14833085258</v>
      </c>
      <c r="F19" s="26" t="s">
        <v>89</v>
      </c>
      <c r="G19" s="41">
        <f t="shared" si="0"/>
        <v>854.99</v>
      </c>
      <c r="H19" s="26" t="s">
        <v>89</v>
      </c>
      <c r="I19" s="702">
        <f t="shared" si="2"/>
        <v>36939</v>
      </c>
      <c r="J19" s="496" t="s">
        <v>89</v>
      </c>
    </row>
    <row r="20" spans="1:10" s="31" customFormat="1" ht="23.25" customHeight="1">
      <c r="A20" s="34" t="s">
        <v>197</v>
      </c>
      <c r="B20" s="603" t="s">
        <v>198</v>
      </c>
      <c r="C20" s="34" t="s">
        <v>151</v>
      </c>
      <c r="D20" s="776">
        <f>D40</f>
        <v>0</v>
      </c>
      <c r="E20" s="41">
        <f>E40</f>
        <v>0</v>
      </c>
      <c r="F20" s="26" t="s">
        <v>89</v>
      </c>
      <c r="G20" s="41">
        <f>G40</f>
        <v>0</v>
      </c>
      <c r="H20" s="26" t="s">
        <v>89</v>
      </c>
      <c r="I20" s="702">
        <f>I40</f>
        <v>0</v>
      </c>
      <c r="J20" s="496" t="s">
        <v>89</v>
      </c>
    </row>
    <row r="21" spans="1:10" s="3" customFormat="1" ht="25.5" customHeight="1">
      <c r="A21" s="34" t="s">
        <v>280</v>
      </c>
      <c r="B21" s="603" t="s">
        <v>199</v>
      </c>
      <c r="C21" s="37"/>
      <c r="D21" s="27" t="s">
        <v>89</v>
      </c>
      <c r="E21" s="26" t="s">
        <v>89</v>
      </c>
      <c r="F21" s="26" t="s">
        <v>89</v>
      </c>
      <c r="G21" s="41">
        <f>ROUND('приложение 4'!N13/'приложение 1'!G15,2)</f>
        <v>117.51</v>
      </c>
      <c r="H21" s="26" t="s">
        <v>89</v>
      </c>
      <c r="I21" s="702">
        <f>ROUND('приложение 4'!N13/1000,1)</f>
        <v>5076.9</v>
      </c>
      <c r="J21" s="497">
        <f>I21/I11</f>
        <v>0.011160386508262407</v>
      </c>
    </row>
    <row r="22" spans="1:10" s="4" customFormat="1" ht="48.75" customHeight="1">
      <c r="A22" s="33" t="s">
        <v>201</v>
      </c>
      <c r="B22" s="603" t="s">
        <v>202</v>
      </c>
      <c r="C22" s="38"/>
      <c r="D22" s="27" t="s">
        <v>89</v>
      </c>
      <c r="E22" s="26" t="s">
        <v>89</v>
      </c>
      <c r="F22" s="26" t="s">
        <v>89</v>
      </c>
      <c r="G22" s="40">
        <f>G23+G24+G25+G26+G27+G30</f>
        <v>10411.69</v>
      </c>
      <c r="H22" s="26" t="s">
        <v>89</v>
      </c>
      <c r="I22" s="701">
        <f>I23+I24+I25+I26+I27+I30</f>
        <v>449826.7</v>
      </c>
      <c r="J22" s="495">
        <f>I22/I11</f>
        <v>0.9888396134917375</v>
      </c>
    </row>
    <row r="23" spans="1:10" s="4" customFormat="1" ht="20.25" customHeight="1">
      <c r="A23" s="34" t="s">
        <v>103</v>
      </c>
      <c r="B23" s="603" t="s">
        <v>203</v>
      </c>
      <c r="C23" s="38" t="s">
        <v>149</v>
      </c>
      <c r="D23" s="777">
        <f>'приложение 1'!C14</f>
        <v>0.289245</v>
      </c>
      <c r="E23" s="41">
        <f>'приложение 4'!C13/'приложение 1'!C12-0.01</f>
        <v>2256.05522741094</v>
      </c>
      <c r="F23" s="26" t="s">
        <v>89</v>
      </c>
      <c r="G23" s="41">
        <f>ROUND('приложение 4'!C13/'приложение 1'!G15,2)</f>
        <v>652.59</v>
      </c>
      <c r="H23" s="26" t="s">
        <v>89</v>
      </c>
      <c r="I23" s="702">
        <f>ROUNDDOWN('приложение 4'!C13/1000+0.1,1)</f>
        <v>28194.5</v>
      </c>
      <c r="J23" s="496" t="s">
        <v>89</v>
      </c>
    </row>
    <row r="24" spans="1:11" s="4" customFormat="1" ht="39.75" customHeight="1">
      <c r="A24" s="1112" t="s">
        <v>181</v>
      </c>
      <c r="B24" s="603" t="s">
        <v>204</v>
      </c>
      <c r="C24" s="45" t="s">
        <v>185</v>
      </c>
      <c r="D24" s="778">
        <f>'приложение 1'!G14</f>
        <v>2.265772</v>
      </c>
      <c r="E24" s="41">
        <f>'приложение 4'!E13/'приложение 1'!G12</f>
        <v>466.49197916028197</v>
      </c>
      <c r="F24" s="26" t="s">
        <v>89</v>
      </c>
      <c r="G24" s="41">
        <f>ROUND('приложение 4'!E13/'приложение 1'!G15,2)</f>
        <v>1056.96</v>
      </c>
      <c r="H24" s="26" t="s">
        <v>89</v>
      </c>
      <c r="I24" s="702">
        <f>ROUND('приложение 4'!E13/1000+0.2,1)</f>
        <v>45665.1</v>
      </c>
      <c r="J24" s="496" t="s">
        <v>89</v>
      </c>
      <c r="K24" s="32"/>
    </row>
    <row r="25" spans="1:10" s="4" customFormat="1" ht="42" customHeight="1">
      <c r="A25" s="1113"/>
      <c r="B25" s="603" t="s">
        <v>205</v>
      </c>
      <c r="C25" s="45" t="s">
        <v>187</v>
      </c>
      <c r="D25" s="778">
        <f>'приложение 1'!H14</f>
        <v>0.53992</v>
      </c>
      <c r="E25" s="41">
        <f>'приложение 4'!F13/'приложение 1'!H12</f>
        <v>597.1673339837888</v>
      </c>
      <c r="F25" s="26" t="s">
        <v>89</v>
      </c>
      <c r="G25" s="41">
        <f>ROUND('приложение 4'!F13/'приложение 1'!G15,2)</f>
        <v>322.43</v>
      </c>
      <c r="H25" s="26" t="s">
        <v>89</v>
      </c>
      <c r="I25" s="702">
        <f>ROUNDDOWN('приложение 4'!F13/1000,1)</f>
        <v>13930.2</v>
      </c>
      <c r="J25" s="496" t="s">
        <v>89</v>
      </c>
    </row>
    <row r="26" spans="1:10" s="4" customFormat="1" ht="18" customHeight="1">
      <c r="A26" s="1114"/>
      <c r="B26" s="603" t="s">
        <v>206</v>
      </c>
      <c r="C26" s="45" t="s">
        <v>150</v>
      </c>
      <c r="D26" s="778">
        <f>'приложение 1'!I14</f>
        <v>1.909025</v>
      </c>
      <c r="E26" s="41">
        <f>'приложение 4'!G13/'приложение 1'!I12</f>
        <v>1306.9539590717127</v>
      </c>
      <c r="F26" s="26" t="s">
        <v>89</v>
      </c>
      <c r="G26" s="41">
        <f>ROUND('приложение 4'!G13/'приложение 1'!G15,2)</f>
        <v>2495.02</v>
      </c>
      <c r="H26" s="26" t="s">
        <v>89</v>
      </c>
      <c r="I26" s="702">
        <f>ROUND('приложение 4'!G13/1000,1)</f>
        <v>107794.8</v>
      </c>
      <c r="J26" s="496" t="s">
        <v>89</v>
      </c>
    </row>
    <row r="27" spans="1:10" s="4" customFormat="1" ht="21" customHeight="1">
      <c r="A27" s="34" t="s">
        <v>207</v>
      </c>
      <c r="B27" s="603" t="s">
        <v>208</v>
      </c>
      <c r="C27" s="34" t="s">
        <v>159</v>
      </c>
      <c r="D27" s="776">
        <f>'приложение 1'!J14</f>
        <v>0.166152</v>
      </c>
      <c r="E27" s="41">
        <f>'приложение 4'!H13/'приложение 1'!L12-1.27</f>
        <v>3524.1981568705073</v>
      </c>
      <c r="F27" s="26" t="s">
        <v>89</v>
      </c>
      <c r="G27" s="41">
        <f>ROUND('приложение 4'!H13/'приложение 1'!G15,2)</f>
        <v>5029.7</v>
      </c>
      <c r="H27" s="26" t="s">
        <v>89</v>
      </c>
      <c r="I27" s="702">
        <f>ROUND('приложение 4'!H13/1000-0.1,1)</f>
        <v>217303.1</v>
      </c>
      <c r="J27" s="496" t="s">
        <v>89</v>
      </c>
    </row>
    <row r="28" spans="1:10" s="4" customFormat="1" ht="25.5" customHeight="1">
      <c r="A28" s="34" t="s">
        <v>209</v>
      </c>
      <c r="B28" s="603" t="s">
        <v>210</v>
      </c>
      <c r="C28" s="34" t="s">
        <v>151</v>
      </c>
      <c r="D28" s="776">
        <f>'приложение 1'!K12/'приложение 1'!G15</f>
        <v>0</v>
      </c>
      <c r="E28" s="41">
        <v>0</v>
      </c>
      <c r="F28" s="26" t="s">
        <v>89</v>
      </c>
      <c r="G28" s="41">
        <f>ROUND('приложение 4'!I13/'приложение 1'!G15,2)</f>
        <v>0</v>
      </c>
      <c r="H28" s="26" t="s">
        <v>89</v>
      </c>
      <c r="I28" s="702">
        <f>ROUND('приложение 4'!I13/1000000,1)</f>
        <v>0</v>
      </c>
      <c r="J28" s="496" t="s">
        <v>89</v>
      </c>
    </row>
    <row r="29" spans="1:10" s="4" customFormat="1" ht="21" customHeight="1">
      <c r="A29" s="35" t="s">
        <v>211</v>
      </c>
      <c r="B29" s="603" t="s">
        <v>212</v>
      </c>
      <c r="C29" s="34" t="s">
        <v>159</v>
      </c>
      <c r="D29" s="776">
        <v>0</v>
      </c>
      <c r="E29" s="41">
        <v>0</v>
      </c>
      <c r="F29" s="26" t="s">
        <v>89</v>
      </c>
      <c r="G29" s="41">
        <v>0</v>
      </c>
      <c r="H29" s="26" t="s">
        <v>89</v>
      </c>
      <c r="I29" s="702">
        <v>0</v>
      </c>
      <c r="J29" s="496" t="s">
        <v>89</v>
      </c>
    </row>
    <row r="30" spans="1:10" s="4" customFormat="1" ht="21" customHeight="1">
      <c r="A30" s="34" t="s">
        <v>152</v>
      </c>
      <c r="B30" s="603" t="s">
        <v>213</v>
      </c>
      <c r="C30" s="34" t="s">
        <v>237</v>
      </c>
      <c r="D30" s="776">
        <f>'приложение 1'!M14</f>
        <v>0.057849</v>
      </c>
      <c r="E30" s="41">
        <f>'приложение 4'!J13/'приложение 1'!M12+0.06</f>
        <v>14780.14833085258</v>
      </c>
      <c r="F30" s="26" t="s">
        <v>89</v>
      </c>
      <c r="G30" s="41">
        <f>ROUND('приложение 4'!J13/'приложение 1'!G15,2)</f>
        <v>854.99</v>
      </c>
      <c r="H30" s="26" t="s">
        <v>89</v>
      </c>
      <c r="I30" s="702">
        <f>ROUND('приложение 4'!J13/1000,1)</f>
        <v>36939</v>
      </c>
      <c r="J30" s="496" t="s">
        <v>89</v>
      </c>
    </row>
    <row r="31" spans="1:10" s="4" customFormat="1" ht="28.5" customHeight="1">
      <c r="A31" s="33" t="s">
        <v>156</v>
      </c>
      <c r="B31" s="603" t="s">
        <v>214</v>
      </c>
      <c r="C31" s="38"/>
      <c r="D31" s="27" t="s">
        <v>89</v>
      </c>
      <c r="E31" s="26" t="s">
        <v>89</v>
      </c>
      <c r="F31" s="26" t="s">
        <v>89</v>
      </c>
      <c r="G31" s="41">
        <f>G32+G33+G34+G35+G36+G39+G40</f>
        <v>0</v>
      </c>
      <c r="H31" s="26" t="s">
        <v>89</v>
      </c>
      <c r="I31" s="702">
        <f>I32+I33+I34+I35+I36+I39+I40</f>
        <v>0</v>
      </c>
      <c r="J31" s="496"/>
    </row>
    <row r="32" spans="1:10" s="4" customFormat="1" ht="13.5" customHeight="1">
      <c r="A32" s="34" t="s">
        <v>103</v>
      </c>
      <c r="B32" s="603" t="s">
        <v>215</v>
      </c>
      <c r="C32" s="38" t="s">
        <v>149</v>
      </c>
      <c r="D32" s="47">
        <v>0</v>
      </c>
      <c r="E32" s="41">
        <v>0</v>
      </c>
      <c r="F32" s="26" t="s">
        <v>89</v>
      </c>
      <c r="G32" s="41">
        <v>0</v>
      </c>
      <c r="H32" s="26" t="s">
        <v>89</v>
      </c>
      <c r="I32" s="702">
        <v>0</v>
      </c>
      <c r="J32" s="496" t="s">
        <v>89</v>
      </c>
    </row>
    <row r="33" spans="1:10" s="4" customFormat="1" ht="41.25" customHeight="1">
      <c r="A33" s="1112" t="s">
        <v>181</v>
      </c>
      <c r="B33" s="603" t="s">
        <v>219</v>
      </c>
      <c r="C33" s="45" t="s">
        <v>185</v>
      </c>
      <c r="D33" s="47">
        <v>0</v>
      </c>
      <c r="E33" s="41">
        <v>0</v>
      </c>
      <c r="F33" s="26" t="s">
        <v>89</v>
      </c>
      <c r="G33" s="41">
        <v>0</v>
      </c>
      <c r="H33" s="26" t="s">
        <v>89</v>
      </c>
      <c r="I33" s="702">
        <v>0</v>
      </c>
      <c r="J33" s="496" t="s">
        <v>89</v>
      </c>
    </row>
    <row r="34" spans="1:10" s="4" customFormat="1" ht="50.25" customHeight="1">
      <c r="A34" s="1113"/>
      <c r="B34" s="603" t="s">
        <v>220</v>
      </c>
      <c r="C34" s="45" t="s">
        <v>187</v>
      </c>
      <c r="D34" s="47">
        <v>0</v>
      </c>
      <c r="E34" s="41">
        <v>0</v>
      </c>
      <c r="F34" s="26" t="s">
        <v>89</v>
      </c>
      <c r="G34" s="41">
        <v>0</v>
      </c>
      <c r="H34" s="26" t="s">
        <v>89</v>
      </c>
      <c r="I34" s="702">
        <v>0</v>
      </c>
      <c r="J34" s="496" t="s">
        <v>89</v>
      </c>
    </row>
    <row r="35" spans="1:10" s="4" customFormat="1" ht="13.5" customHeight="1">
      <c r="A35" s="1114"/>
      <c r="B35" s="603" t="s">
        <v>221</v>
      </c>
      <c r="C35" s="45" t="s">
        <v>150</v>
      </c>
      <c r="D35" s="47">
        <v>0</v>
      </c>
      <c r="E35" s="41">
        <v>0</v>
      </c>
      <c r="F35" s="26" t="s">
        <v>89</v>
      </c>
      <c r="G35" s="41">
        <v>0</v>
      </c>
      <c r="H35" s="26" t="s">
        <v>89</v>
      </c>
      <c r="I35" s="702">
        <v>0</v>
      </c>
      <c r="J35" s="496" t="s">
        <v>89</v>
      </c>
    </row>
    <row r="36" spans="1:10" s="4" customFormat="1" ht="26.25" customHeight="1">
      <c r="A36" s="34" t="s">
        <v>207</v>
      </c>
      <c r="B36" s="603" t="s">
        <v>222</v>
      </c>
      <c r="C36" s="34" t="s">
        <v>159</v>
      </c>
      <c r="D36" s="47">
        <v>0</v>
      </c>
      <c r="E36" s="41">
        <v>0</v>
      </c>
      <c r="F36" s="26" t="s">
        <v>89</v>
      </c>
      <c r="G36" s="41">
        <v>0</v>
      </c>
      <c r="H36" s="26" t="s">
        <v>89</v>
      </c>
      <c r="I36" s="702">
        <v>0</v>
      </c>
      <c r="J36" s="496" t="s">
        <v>89</v>
      </c>
    </row>
    <row r="37" spans="1:10" s="4" customFormat="1" ht="26.25" customHeight="1">
      <c r="A37" s="34" t="s">
        <v>223</v>
      </c>
      <c r="B37" s="603" t="s">
        <v>224</v>
      </c>
      <c r="C37" s="34" t="s">
        <v>151</v>
      </c>
      <c r="D37" s="47">
        <v>0</v>
      </c>
      <c r="E37" s="41">
        <v>0</v>
      </c>
      <c r="F37" s="26" t="s">
        <v>89</v>
      </c>
      <c r="G37" s="41">
        <v>0</v>
      </c>
      <c r="H37" s="26" t="s">
        <v>89</v>
      </c>
      <c r="I37" s="702">
        <v>0</v>
      </c>
      <c r="J37" s="496" t="s">
        <v>89</v>
      </c>
    </row>
    <row r="38" spans="1:10" s="4" customFormat="1" ht="20.25" customHeight="1">
      <c r="A38" s="35" t="s">
        <v>211</v>
      </c>
      <c r="B38" s="603" t="s">
        <v>225</v>
      </c>
      <c r="C38" s="34" t="s">
        <v>159</v>
      </c>
      <c r="D38" s="47">
        <v>0</v>
      </c>
      <c r="E38" s="41">
        <v>0</v>
      </c>
      <c r="F38" s="26" t="s">
        <v>89</v>
      </c>
      <c r="G38" s="41">
        <v>0</v>
      </c>
      <c r="H38" s="26" t="s">
        <v>89</v>
      </c>
      <c r="I38" s="702">
        <v>0</v>
      </c>
      <c r="J38" s="496" t="s">
        <v>89</v>
      </c>
    </row>
    <row r="39" spans="1:10" s="4" customFormat="1" ht="19.5" customHeight="1">
      <c r="A39" s="34" t="s">
        <v>152</v>
      </c>
      <c r="B39" s="603" t="s">
        <v>226</v>
      </c>
      <c r="C39" s="34" t="s">
        <v>237</v>
      </c>
      <c r="D39" s="47">
        <v>0</v>
      </c>
      <c r="E39" s="41">
        <v>0</v>
      </c>
      <c r="F39" s="26" t="s">
        <v>89</v>
      </c>
      <c r="G39" s="41">
        <v>0</v>
      </c>
      <c r="H39" s="26" t="s">
        <v>89</v>
      </c>
      <c r="I39" s="702">
        <v>0</v>
      </c>
      <c r="J39" s="496" t="s">
        <v>89</v>
      </c>
    </row>
    <row r="40" spans="1:10" s="31" customFormat="1" ht="20.25" customHeight="1">
      <c r="A40" s="34" t="s">
        <v>227</v>
      </c>
      <c r="B40" s="603" t="s">
        <v>228</v>
      </c>
      <c r="C40" s="34" t="s">
        <v>151</v>
      </c>
      <c r="D40" s="47">
        <v>0</v>
      </c>
      <c r="E40" s="41">
        <v>0</v>
      </c>
      <c r="F40" s="26" t="s">
        <v>89</v>
      </c>
      <c r="G40" s="41">
        <v>0</v>
      </c>
      <c r="H40" s="26" t="s">
        <v>89</v>
      </c>
      <c r="I40" s="702">
        <v>0</v>
      </c>
      <c r="J40" s="496" t="s">
        <v>89</v>
      </c>
    </row>
    <row r="41" spans="1:10" s="3" customFormat="1" ht="18.75" customHeight="1">
      <c r="A41" s="33" t="s">
        <v>229</v>
      </c>
      <c r="B41" s="602" t="s">
        <v>230</v>
      </c>
      <c r="C41" s="37"/>
      <c r="D41" s="42" t="s">
        <v>89</v>
      </c>
      <c r="E41" s="42" t="s">
        <v>89</v>
      </c>
      <c r="F41" s="40"/>
      <c r="G41" s="40">
        <f>G11</f>
        <v>10529.2</v>
      </c>
      <c r="H41" s="42"/>
      <c r="I41" s="703">
        <f>I11</f>
        <v>454903.60000000003</v>
      </c>
      <c r="J41" s="42">
        <v>100</v>
      </c>
    </row>
    <row r="42" ht="10.5" customHeight="1"/>
    <row r="43" spans="1:10" ht="13.5" customHeight="1">
      <c r="A43" s="1115" t="s">
        <v>278</v>
      </c>
      <c r="B43" s="1115"/>
      <c r="C43" s="1115"/>
      <c r="D43" s="1115"/>
      <c r="E43" s="1115"/>
      <c r="F43" s="1115"/>
      <c r="G43" s="1115"/>
      <c r="H43" s="1115"/>
      <c r="I43" s="1115"/>
      <c r="J43" s="1115"/>
    </row>
    <row r="44" spans="1:10" ht="11.25" customHeight="1">
      <c r="A44" s="1097" t="s">
        <v>279</v>
      </c>
      <c r="B44" s="1097"/>
      <c r="C44" s="1097"/>
      <c r="D44" s="1097"/>
      <c r="E44" s="1097"/>
      <c r="F44" s="1097"/>
      <c r="G44" s="1097"/>
      <c r="H44" s="1097"/>
      <c r="I44" s="1097"/>
      <c r="J44" s="1097"/>
    </row>
    <row r="45" spans="1:10" ht="11.25" customHeight="1">
      <c r="A45" s="1097" t="s">
        <v>231</v>
      </c>
      <c r="B45" s="1097"/>
      <c r="C45" s="1097"/>
      <c r="D45" s="1097"/>
      <c r="E45" s="1097"/>
      <c r="F45" s="1097"/>
      <c r="G45" s="1097"/>
      <c r="H45" s="1097"/>
      <c r="I45" s="1097"/>
      <c r="J45" s="1097"/>
    </row>
    <row r="46" spans="1:10" ht="14.25" customHeight="1">
      <c r="A46" s="1111"/>
      <c r="B46" s="1111"/>
      <c r="C46" s="1111"/>
      <c r="D46" s="1111"/>
      <c r="E46" s="1111"/>
      <c r="F46" s="1111"/>
      <c r="G46" s="1111"/>
      <c r="H46" s="1111"/>
      <c r="I46" s="1111"/>
      <c r="J46" s="1111"/>
    </row>
  </sheetData>
  <sheetProtection/>
  <mergeCells count="20">
    <mergeCell ref="H8:I8"/>
    <mergeCell ref="C7:C9"/>
    <mergeCell ref="G1:K1"/>
    <mergeCell ref="F8:G8"/>
    <mergeCell ref="E7:E9"/>
    <mergeCell ref="D7:D9"/>
    <mergeCell ref="A3:K3"/>
    <mergeCell ref="A4:K4"/>
    <mergeCell ref="A5:K5"/>
    <mergeCell ref="A7:A9"/>
    <mergeCell ref="B7:B9"/>
    <mergeCell ref="F7:G7"/>
    <mergeCell ref="J7:J9"/>
    <mergeCell ref="A46:J46"/>
    <mergeCell ref="A24:A26"/>
    <mergeCell ref="A33:A35"/>
    <mergeCell ref="A43:J43"/>
    <mergeCell ref="H7:I7"/>
    <mergeCell ref="A45:J45"/>
    <mergeCell ref="A44:J44"/>
  </mergeCells>
  <printOptions/>
  <pageMargins left="0" right="0" top="0.68" bottom="0.31" header="0.22" footer="0.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C29"/>
  <sheetViews>
    <sheetView view="pageBreakPreview" zoomScaleSheetLayoutView="100" zoomScalePageLayoutView="0" workbookViewId="0" topLeftCell="A1">
      <selection activeCell="L1" sqref="L1:P1"/>
    </sheetView>
  </sheetViews>
  <sheetFormatPr defaultColWidth="9.140625" defaultRowHeight="15"/>
  <cols>
    <col min="1" max="1" width="5.00390625" style="20" customWidth="1"/>
    <col min="2" max="2" width="50.140625" style="20" customWidth="1"/>
    <col min="3" max="6" width="7.8515625" style="20" hidden="1" customWidth="1"/>
    <col min="7" max="7" width="9.421875" style="59" hidden="1" customWidth="1"/>
    <col min="8" max="8" width="15.8515625" style="59" customWidth="1"/>
    <col min="9" max="9" width="12.28125" style="58" hidden="1" customWidth="1"/>
    <col min="10" max="10" width="17.28125" style="140" hidden="1" customWidth="1"/>
    <col min="11" max="11" width="11.57421875" style="59" customWidth="1"/>
    <col min="12" max="12" width="10.8515625" style="59" customWidth="1"/>
    <col min="13" max="13" width="11.140625" style="59" customWidth="1"/>
    <col min="14" max="14" width="11.28125" style="59" customWidth="1"/>
    <col min="15" max="15" width="11.7109375" style="144" customWidth="1"/>
    <col min="16" max="16" width="15.00390625" style="59" customWidth="1"/>
    <col min="17" max="17" width="15.8515625" style="59" customWidth="1"/>
    <col min="18" max="18" width="15.8515625" style="20" customWidth="1"/>
    <col min="19" max="19" width="12.7109375" style="20" customWidth="1"/>
    <col min="20" max="20" width="19.140625" style="20" customWidth="1"/>
    <col min="21" max="21" width="13.00390625" style="20" customWidth="1"/>
    <col min="22" max="22" width="13.8515625" style="20" customWidth="1"/>
    <col min="23" max="23" width="12.421875" style="20" customWidth="1"/>
    <col min="24" max="24" width="10.57421875" style="20" customWidth="1"/>
    <col min="25" max="16384" width="9.140625" style="20" customWidth="1"/>
  </cols>
  <sheetData>
    <row r="1" spans="2:16" ht="53.25" customHeight="1">
      <c r="B1" s="64"/>
      <c r="C1" s="64"/>
      <c r="D1" s="64"/>
      <c r="E1" s="64"/>
      <c r="F1" s="64"/>
      <c r="G1" s="65"/>
      <c r="H1" s="65"/>
      <c r="I1" s="66"/>
      <c r="J1" s="128"/>
      <c r="K1" s="65"/>
      <c r="L1" s="858" t="s">
        <v>322</v>
      </c>
      <c r="M1" s="858"/>
      <c r="N1" s="858"/>
      <c r="O1" s="858"/>
      <c r="P1" s="858"/>
    </row>
    <row r="2" spans="2:16" ht="42.75" customHeight="1">
      <c r="B2" s="64"/>
      <c r="C2" s="64"/>
      <c r="D2" s="64"/>
      <c r="E2" s="64"/>
      <c r="F2" s="64"/>
      <c r="G2" s="65"/>
      <c r="H2" s="65"/>
      <c r="I2" s="66"/>
      <c r="J2" s="128"/>
      <c r="K2" s="65"/>
      <c r="L2" s="65"/>
      <c r="M2" s="65"/>
      <c r="N2" s="65"/>
      <c r="O2" s="141"/>
      <c r="P2" s="65"/>
    </row>
    <row r="3" spans="2:16" ht="51" customHeight="1">
      <c r="B3" s="890" t="s">
        <v>258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</row>
    <row r="4" spans="2:16" ht="21" customHeight="1" thickBot="1">
      <c r="B4" s="64"/>
      <c r="C4" s="64"/>
      <c r="D4" s="64"/>
      <c r="E4" s="64"/>
      <c r="F4" s="64"/>
      <c r="G4" s="65"/>
      <c r="H4" s="65"/>
      <c r="I4" s="66"/>
      <c r="J4" s="128"/>
      <c r="K4" s="65"/>
      <c r="L4" s="65"/>
      <c r="M4" s="65"/>
      <c r="N4" s="65"/>
      <c r="O4" s="141"/>
      <c r="P4" s="65"/>
    </row>
    <row r="5" spans="2:18" ht="30" customHeight="1" thickBot="1">
      <c r="B5" s="891" t="s">
        <v>91</v>
      </c>
      <c r="C5" s="894" t="s">
        <v>240</v>
      </c>
      <c r="D5" s="894"/>
      <c r="E5" s="894"/>
      <c r="F5" s="894"/>
      <c r="G5" s="895"/>
      <c r="H5" s="882" t="s">
        <v>259</v>
      </c>
      <c r="I5" s="514"/>
      <c r="J5" s="514"/>
      <c r="K5" s="513" t="s">
        <v>88</v>
      </c>
      <c r="L5" s="514"/>
      <c r="M5" s="514"/>
      <c r="N5" s="514"/>
      <c r="O5" s="515"/>
      <c r="P5" s="879" t="s">
        <v>260</v>
      </c>
      <c r="Q5" s="106"/>
      <c r="R5" s="48"/>
    </row>
    <row r="6" spans="2:18" ht="29.25" customHeight="1">
      <c r="B6" s="892"/>
      <c r="C6" s="876" t="s">
        <v>98</v>
      </c>
      <c r="D6" s="876"/>
      <c r="E6" s="876"/>
      <c r="F6" s="876"/>
      <c r="G6" s="877" t="s">
        <v>238</v>
      </c>
      <c r="H6" s="883"/>
      <c r="I6" s="107"/>
      <c r="J6" s="107"/>
      <c r="K6" s="885" t="s">
        <v>98</v>
      </c>
      <c r="L6" s="886"/>
      <c r="M6" s="886"/>
      <c r="N6" s="887"/>
      <c r="O6" s="888" t="s">
        <v>238</v>
      </c>
      <c r="P6" s="880"/>
      <c r="Q6" s="106"/>
      <c r="R6" s="48"/>
    </row>
    <row r="7" spans="2:18" ht="100.5" customHeight="1" thickBot="1">
      <c r="B7" s="893"/>
      <c r="C7" s="108" t="s">
        <v>120</v>
      </c>
      <c r="D7" s="108" t="s">
        <v>121</v>
      </c>
      <c r="E7" s="108" t="s">
        <v>122</v>
      </c>
      <c r="F7" s="108" t="s">
        <v>245</v>
      </c>
      <c r="G7" s="878"/>
      <c r="H7" s="884"/>
      <c r="I7" s="119"/>
      <c r="J7" s="120"/>
      <c r="K7" s="504" t="s">
        <v>120</v>
      </c>
      <c r="L7" s="505" t="s">
        <v>121</v>
      </c>
      <c r="M7" s="505" t="s">
        <v>122</v>
      </c>
      <c r="N7" s="503" t="s">
        <v>245</v>
      </c>
      <c r="O7" s="889"/>
      <c r="P7" s="881"/>
      <c r="Q7" s="106"/>
      <c r="R7" s="48"/>
    </row>
    <row r="8" spans="2:19" ht="35.25" customHeight="1">
      <c r="B8" s="116" t="s">
        <v>246</v>
      </c>
      <c r="C8" s="117">
        <v>36</v>
      </c>
      <c r="D8" s="117">
        <v>36</v>
      </c>
      <c r="E8" s="117">
        <v>36</v>
      </c>
      <c r="F8" s="117">
        <v>37</v>
      </c>
      <c r="G8" s="118">
        <f>C8+D8+E8+F8</f>
        <v>145</v>
      </c>
      <c r="H8" s="445">
        <f>'приложение 1'!C11</f>
        <v>176</v>
      </c>
      <c r="I8" s="146">
        <f>2086.2</f>
        <v>2086.2</v>
      </c>
      <c r="J8" s="130">
        <f>H8*I8</f>
        <v>367171.19999999995</v>
      </c>
      <c r="K8" s="129">
        <v>3196</v>
      </c>
      <c r="L8" s="129">
        <v>3196</v>
      </c>
      <c r="M8" s="129">
        <f>3196-232</f>
        <v>2964</v>
      </c>
      <c r="N8" s="129">
        <f>3197-232</f>
        <v>2965</v>
      </c>
      <c r="O8" s="464">
        <f>N8+M8+L8+K8</f>
        <v>12321</v>
      </c>
      <c r="P8" s="151">
        <f>H8+O8</f>
        <v>12497</v>
      </c>
      <c r="Q8" s="106"/>
      <c r="R8" s="48"/>
      <c r="S8" s="29"/>
    </row>
    <row r="9" spans="2:18" ht="24.75" customHeight="1">
      <c r="B9" s="84" t="s">
        <v>124</v>
      </c>
      <c r="C9" s="68"/>
      <c r="D9" s="68"/>
      <c r="E9" s="68"/>
      <c r="F9" s="68"/>
      <c r="G9" s="115">
        <f aca="true" t="shared" si="0" ref="G9:G19">C9+D9+E9+F9</f>
        <v>0</v>
      </c>
      <c r="H9" s="446"/>
      <c r="I9" s="147"/>
      <c r="J9" s="132"/>
      <c r="K9" s="70"/>
      <c r="L9" s="70"/>
      <c r="M9" s="70"/>
      <c r="N9" s="150"/>
      <c r="O9" s="465"/>
      <c r="P9" s="152"/>
      <c r="Q9" s="106"/>
      <c r="R9" s="48"/>
    </row>
    <row r="10" spans="2:29" ht="34.5" customHeight="1">
      <c r="B10" s="85" t="s">
        <v>253</v>
      </c>
      <c r="C10" s="114" t="s">
        <v>248</v>
      </c>
      <c r="D10" s="114" t="s">
        <v>248</v>
      </c>
      <c r="E10" s="114" t="s">
        <v>248</v>
      </c>
      <c r="F10" s="114" t="s">
        <v>249</v>
      </c>
      <c r="G10" s="115">
        <f t="shared" si="0"/>
        <v>2765</v>
      </c>
      <c r="H10" s="446">
        <f>'приложение 1'!G11</f>
        <v>3057</v>
      </c>
      <c r="I10" s="147">
        <v>428.17</v>
      </c>
      <c r="J10" s="132">
        <f>H10*I10</f>
        <v>1308915.69</v>
      </c>
      <c r="K10" s="70">
        <v>24618</v>
      </c>
      <c r="L10" s="70">
        <v>24618</v>
      </c>
      <c r="M10" s="70">
        <f>24618-1819</f>
        <v>22799</v>
      </c>
      <c r="N10" s="70">
        <f>24618-1820</f>
        <v>22798</v>
      </c>
      <c r="O10" s="152">
        <f>N10+M10+L10+K10</f>
        <v>94833</v>
      </c>
      <c r="P10" s="152">
        <f>H10+O10</f>
        <v>97890</v>
      </c>
      <c r="Q10" s="106"/>
      <c r="R10" s="48"/>
      <c r="S10" s="29"/>
      <c r="T10" s="48"/>
      <c r="U10" s="48"/>
      <c r="V10" s="48"/>
      <c r="W10" s="48"/>
      <c r="AC10" s="49"/>
    </row>
    <row r="11" spans="2:29" ht="21.75" customHeight="1" hidden="1">
      <c r="B11" s="86" t="s">
        <v>98</v>
      </c>
      <c r="C11" s="12"/>
      <c r="D11" s="12"/>
      <c r="E11" s="12"/>
      <c r="F11" s="12"/>
      <c r="G11" s="115">
        <f t="shared" si="0"/>
        <v>0</v>
      </c>
      <c r="H11" s="446"/>
      <c r="I11" s="147"/>
      <c r="J11" s="132"/>
      <c r="K11" s="70"/>
      <c r="L11" s="70"/>
      <c r="M11" s="70"/>
      <c r="N11" s="150"/>
      <c r="O11" s="465">
        <f aca="true" t="shared" si="1" ref="O11:O19">N11+M11+L11+K11</f>
        <v>0</v>
      </c>
      <c r="P11" s="154"/>
      <c r="Q11" s="106"/>
      <c r="R11" s="48"/>
      <c r="S11" s="29"/>
      <c r="T11" s="48"/>
      <c r="U11" s="48"/>
      <c r="V11" s="48"/>
      <c r="W11" s="48"/>
      <c r="AC11" s="49"/>
    </row>
    <row r="12" spans="2:29" ht="30" customHeight="1" hidden="1">
      <c r="B12" s="85" t="s">
        <v>243</v>
      </c>
      <c r="C12" s="109"/>
      <c r="D12" s="109"/>
      <c r="E12" s="109"/>
      <c r="F12" s="109"/>
      <c r="G12" s="115">
        <f t="shared" si="0"/>
        <v>0</v>
      </c>
      <c r="H12" s="446"/>
      <c r="I12" s="147"/>
      <c r="J12" s="132"/>
      <c r="K12" s="70">
        <v>8416</v>
      </c>
      <c r="L12" s="70">
        <v>8417</v>
      </c>
      <c r="M12" s="70">
        <v>8417</v>
      </c>
      <c r="N12" s="150">
        <v>8417</v>
      </c>
      <c r="O12" s="465">
        <f t="shared" si="1"/>
        <v>33667</v>
      </c>
      <c r="P12" s="152">
        <f>H12+O12</f>
        <v>33667</v>
      </c>
      <c r="Q12" s="106"/>
      <c r="R12" s="48"/>
      <c r="S12" s="29"/>
      <c r="T12" s="48"/>
      <c r="U12" s="48"/>
      <c r="V12" s="48"/>
      <c r="W12" s="48"/>
      <c r="AC12" s="49"/>
    </row>
    <row r="13" spans="2:29" ht="30" customHeight="1" hidden="1">
      <c r="B13" s="87" t="s">
        <v>244</v>
      </c>
      <c r="C13" s="110"/>
      <c r="D13" s="110"/>
      <c r="E13" s="110"/>
      <c r="F13" s="110"/>
      <c r="G13" s="115">
        <f t="shared" si="0"/>
        <v>0</v>
      </c>
      <c r="H13" s="446"/>
      <c r="I13" s="147"/>
      <c r="J13" s="132"/>
      <c r="K13" s="70">
        <v>15910</v>
      </c>
      <c r="L13" s="70">
        <v>15910</v>
      </c>
      <c r="M13" s="70">
        <v>15910</v>
      </c>
      <c r="N13" s="70">
        <v>15910</v>
      </c>
      <c r="O13" s="465">
        <f t="shared" si="1"/>
        <v>63640</v>
      </c>
      <c r="P13" s="152">
        <f>H13+O13</f>
        <v>63640</v>
      </c>
      <c r="Q13" s="106"/>
      <c r="R13" s="48"/>
      <c r="S13" s="29"/>
      <c r="T13" s="48"/>
      <c r="U13" s="48"/>
      <c r="V13" s="48"/>
      <c r="W13" s="48"/>
      <c r="AC13" s="49"/>
    </row>
    <row r="14" spans="2:29" ht="36.75" customHeight="1">
      <c r="B14" s="85" t="s">
        <v>254</v>
      </c>
      <c r="C14" s="109"/>
      <c r="D14" s="109"/>
      <c r="E14" s="109"/>
      <c r="F14" s="109"/>
      <c r="G14" s="115">
        <f t="shared" si="0"/>
        <v>0</v>
      </c>
      <c r="H14" s="446">
        <f>'приложение 1'!H11</f>
        <v>72</v>
      </c>
      <c r="I14" s="147">
        <v>548.12</v>
      </c>
      <c r="J14" s="132">
        <f>H14*I14</f>
        <v>39464.64</v>
      </c>
      <c r="K14" s="70">
        <v>6030</v>
      </c>
      <c r="L14" s="70">
        <v>6030</v>
      </c>
      <c r="M14" s="70">
        <f>6031-433</f>
        <v>5598</v>
      </c>
      <c r="N14" s="70">
        <f>6031-434</f>
        <v>5597</v>
      </c>
      <c r="O14" s="465">
        <f t="shared" si="1"/>
        <v>23255</v>
      </c>
      <c r="P14" s="152">
        <f>H14+O14</f>
        <v>23327</v>
      </c>
      <c r="Q14" s="106"/>
      <c r="R14" s="48"/>
      <c r="S14" s="29"/>
      <c r="T14" s="48"/>
      <c r="U14" s="48"/>
      <c r="V14" s="48"/>
      <c r="W14" s="48"/>
      <c r="AC14" s="49"/>
    </row>
    <row r="15" spans="2:29" ht="33" customHeight="1">
      <c r="B15" s="85" t="s">
        <v>252</v>
      </c>
      <c r="C15" s="109" t="s">
        <v>250</v>
      </c>
      <c r="D15" s="109" t="s">
        <v>250</v>
      </c>
      <c r="E15" s="109" t="s">
        <v>250</v>
      </c>
      <c r="F15" s="109" t="s">
        <v>250</v>
      </c>
      <c r="G15" s="115">
        <f t="shared" si="0"/>
        <v>1400</v>
      </c>
      <c r="H15" s="446">
        <f>'приложение 1'!I11</f>
        <v>600</v>
      </c>
      <c r="I15" s="147">
        <v>1199.64</v>
      </c>
      <c r="J15" s="132">
        <f>H15*I15</f>
        <v>719784.0000000001</v>
      </c>
      <c r="K15" s="70">
        <v>21236</v>
      </c>
      <c r="L15" s="70">
        <v>21236</v>
      </c>
      <c r="M15" s="70">
        <v>21236</v>
      </c>
      <c r="N15" s="70">
        <v>21236</v>
      </c>
      <c r="O15" s="465">
        <f t="shared" si="1"/>
        <v>84944</v>
      </c>
      <c r="P15" s="152">
        <f>H15+O15</f>
        <v>85544</v>
      </c>
      <c r="Q15" s="106"/>
      <c r="R15" s="48"/>
      <c r="S15" s="29"/>
      <c r="T15" s="48"/>
      <c r="U15" s="48"/>
      <c r="V15" s="48"/>
      <c r="W15" s="48"/>
      <c r="AC15" s="49"/>
    </row>
    <row r="16" spans="2:29" ht="41.25" customHeight="1">
      <c r="B16" s="87" t="s">
        <v>93</v>
      </c>
      <c r="C16" s="110"/>
      <c r="D16" s="110"/>
      <c r="E16" s="110"/>
      <c r="F16" s="110"/>
      <c r="G16" s="115">
        <f t="shared" si="0"/>
        <v>0</v>
      </c>
      <c r="H16" s="446"/>
      <c r="I16" s="147"/>
      <c r="J16" s="132"/>
      <c r="K16" s="70"/>
      <c r="L16" s="70"/>
      <c r="M16" s="70"/>
      <c r="N16" s="150"/>
      <c r="O16" s="465"/>
      <c r="P16" s="154"/>
      <c r="Q16" s="106"/>
      <c r="R16" s="48"/>
      <c r="S16" s="29"/>
      <c r="T16" s="48"/>
      <c r="U16" s="48"/>
      <c r="V16" s="48"/>
      <c r="W16" s="48"/>
      <c r="AC16" s="49"/>
    </row>
    <row r="17" spans="2:23" ht="39.75" customHeight="1">
      <c r="B17" s="89" t="s">
        <v>242</v>
      </c>
      <c r="C17" s="111">
        <v>105</v>
      </c>
      <c r="D17" s="111">
        <v>105</v>
      </c>
      <c r="E17" s="111">
        <v>105</v>
      </c>
      <c r="F17" s="111">
        <v>106</v>
      </c>
      <c r="G17" s="115">
        <f t="shared" si="0"/>
        <v>421</v>
      </c>
      <c r="H17" s="446">
        <f>'приложение 1'!J11</f>
        <v>543</v>
      </c>
      <c r="I17" s="147">
        <v>27234.05</v>
      </c>
      <c r="J17" s="132">
        <f>H17*I17</f>
        <v>14788089.15</v>
      </c>
      <c r="K17" s="70">
        <v>1725</v>
      </c>
      <c r="L17" s="70">
        <v>1726</v>
      </c>
      <c r="M17" s="70">
        <f>1725-133</f>
        <v>1592</v>
      </c>
      <c r="N17" s="70">
        <f>1726-134</f>
        <v>1592</v>
      </c>
      <c r="O17" s="465">
        <f t="shared" si="1"/>
        <v>6635</v>
      </c>
      <c r="P17" s="152">
        <f>H17+O17</f>
        <v>7178</v>
      </c>
      <c r="Q17" s="106"/>
      <c r="R17" s="48"/>
      <c r="S17" s="48"/>
      <c r="T17" s="48"/>
      <c r="U17" s="48"/>
      <c r="V17" s="48"/>
      <c r="W17" s="48"/>
    </row>
    <row r="18" spans="2:23" ht="21.75" customHeight="1">
      <c r="B18" s="83" t="s">
        <v>131</v>
      </c>
      <c r="C18" s="112"/>
      <c r="D18" s="112"/>
      <c r="E18" s="112"/>
      <c r="F18" s="112"/>
      <c r="G18" s="115"/>
      <c r="H18" s="446"/>
      <c r="I18" s="147"/>
      <c r="J18" s="132"/>
      <c r="K18" s="70"/>
      <c r="L18" s="70"/>
      <c r="M18" s="70"/>
      <c r="N18" s="150"/>
      <c r="O18" s="465"/>
      <c r="P18" s="154"/>
      <c r="Q18" s="106"/>
      <c r="R18" s="48"/>
      <c r="S18" s="48"/>
      <c r="T18" s="48"/>
      <c r="U18" s="48"/>
      <c r="V18" s="48"/>
      <c r="W18" s="48"/>
    </row>
    <row r="19" spans="2:23" ht="29.25" customHeight="1" thickBot="1">
      <c r="B19" s="88" t="s">
        <v>247</v>
      </c>
      <c r="C19" s="125">
        <v>6</v>
      </c>
      <c r="D19" s="126">
        <v>7</v>
      </c>
      <c r="E19" s="126">
        <v>7</v>
      </c>
      <c r="F19" s="126">
        <v>7</v>
      </c>
      <c r="G19" s="127">
        <f t="shared" si="0"/>
        <v>27</v>
      </c>
      <c r="H19" s="447">
        <f>'приложение 1'!M11</f>
        <v>20</v>
      </c>
      <c r="I19" s="148">
        <v>13643.83</v>
      </c>
      <c r="J19" s="134">
        <f>H19*I19</f>
        <v>272876.6</v>
      </c>
      <c r="K19" s="133">
        <v>643</v>
      </c>
      <c r="L19" s="133">
        <v>643</v>
      </c>
      <c r="M19" s="133">
        <f>643-46</f>
        <v>597</v>
      </c>
      <c r="N19" s="133">
        <f>643-47</f>
        <v>596</v>
      </c>
      <c r="O19" s="466">
        <f t="shared" si="1"/>
        <v>2479</v>
      </c>
      <c r="P19" s="153">
        <f>H19+O19</f>
        <v>2499</v>
      </c>
      <c r="Q19" s="106"/>
      <c r="R19" s="48"/>
      <c r="S19" s="48"/>
      <c r="T19" s="48"/>
      <c r="U19" s="48"/>
      <c r="V19" s="48"/>
      <c r="W19" s="48"/>
    </row>
    <row r="20" spans="2:23" ht="32.25" customHeight="1" hidden="1" thickBot="1">
      <c r="B20" s="121" t="s">
        <v>238</v>
      </c>
      <c r="C20" s="113"/>
      <c r="D20" s="113"/>
      <c r="E20" s="113"/>
      <c r="F20" s="113"/>
      <c r="G20" s="122"/>
      <c r="H20" s="123"/>
      <c r="I20" s="124">
        <v>12000000</v>
      </c>
      <c r="J20" s="136">
        <f>SUM(J8:J19)</f>
        <v>17496301.28</v>
      </c>
      <c r="K20" s="123"/>
      <c r="L20" s="123"/>
      <c r="M20" s="123"/>
      <c r="N20" s="123"/>
      <c r="O20" s="124"/>
      <c r="P20" s="123"/>
      <c r="Q20" s="106"/>
      <c r="R20" s="48"/>
      <c r="S20" s="48"/>
      <c r="T20" s="48"/>
      <c r="U20" s="48"/>
      <c r="V20" s="48"/>
      <c r="W20" s="48"/>
    </row>
    <row r="21" spans="2:23" ht="20.25" customHeight="1">
      <c r="B21" s="72"/>
      <c r="C21" s="72"/>
      <c r="D21" s="72"/>
      <c r="E21" s="72"/>
      <c r="F21" s="72"/>
      <c r="G21" s="73"/>
      <c r="H21" s="74"/>
      <c r="I21" s="75"/>
      <c r="J21" s="137">
        <f>I20-J20</f>
        <v>-5496301.280000001</v>
      </c>
      <c r="K21" s="74"/>
      <c r="L21" s="74"/>
      <c r="M21" s="74"/>
      <c r="N21" s="74"/>
      <c r="O21" s="142"/>
      <c r="P21" s="74"/>
      <c r="Q21" s="106"/>
      <c r="R21" s="48"/>
      <c r="S21" s="48"/>
      <c r="T21" s="48"/>
      <c r="U21" s="48"/>
      <c r="V21" s="48"/>
      <c r="W21" s="48"/>
    </row>
    <row r="22" spans="2:23" ht="20.25" customHeight="1">
      <c r="B22" s="72"/>
      <c r="C22" s="72"/>
      <c r="D22" s="72"/>
      <c r="E22" s="72"/>
      <c r="F22" s="72"/>
      <c r="G22" s="73"/>
      <c r="H22" s="74"/>
      <c r="I22" s="75"/>
      <c r="J22" s="138"/>
      <c r="K22" s="74"/>
      <c r="L22" s="74"/>
      <c r="M22" s="74"/>
      <c r="N22" s="74"/>
      <c r="O22" s="142"/>
      <c r="P22" s="74"/>
      <c r="Q22" s="106"/>
      <c r="R22" s="48"/>
      <c r="S22" s="48"/>
      <c r="T22" s="48"/>
      <c r="U22" s="48"/>
      <c r="V22" s="48"/>
      <c r="W22" s="48"/>
    </row>
    <row r="23" spans="2:23" ht="20.25" customHeight="1">
      <c r="B23" s="72"/>
      <c r="C23" s="72"/>
      <c r="D23" s="72"/>
      <c r="E23" s="72"/>
      <c r="F23" s="72"/>
      <c r="G23" s="73"/>
      <c r="H23" s="74"/>
      <c r="I23" s="75"/>
      <c r="J23" s="138"/>
      <c r="K23" s="74"/>
      <c r="L23" s="74"/>
      <c r="M23" s="74"/>
      <c r="N23" s="74"/>
      <c r="O23" s="142"/>
      <c r="P23" s="74"/>
      <c r="Q23" s="106"/>
      <c r="R23" s="48"/>
      <c r="S23" s="48"/>
      <c r="T23" s="48"/>
      <c r="U23" s="48"/>
      <c r="V23" s="48"/>
      <c r="W23" s="48"/>
    </row>
    <row r="24" spans="2:23" ht="20.25" customHeight="1">
      <c r="B24" s="23"/>
      <c r="C24" s="23"/>
      <c r="D24" s="23"/>
      <c r="E24" s="23"/>
      <c r="F24" s="23"/>
      <c r="G24" s="62"/>
      <c r="H24" s="61"/>
      <c r="I24" s="63"/>
      <c r="J24" s="139"/>
      <c r="K24" s="61"/>
      <c r="L24" s="61"/>
      <c r="M24" s="61"/>
      <c r="N24" s="61"/>
      <c r="O24" s="143"/>
      <c r="P24" s="61"/>
      <c r="Q24" s="106"/>
      <c r="R24" s="48"/>
      <c r="S24" s="48"/>
      <c r="T24" s="48"/>
      <c r="U24" s="48"/>
      <c r="V24" s="48"/>
      <c r="W24" s="48"/>
    </row>
    <row r="25" spans="2:23" ht="20.25" customHeight="1">
      <c r="B25" s="23"/>
      <c r="C25" s="23"/>
      <c r="D25" s="23"/>
      <c r="E25" s="23"/>
      <c r="F25" s="23"/>
      <c r="G25" s="62"/>
      <c r="H25" s="61"/>
      <c r="I25" s="63"/>
      <c r="J25" s="139"/>
      <c r="K25" s="61"/>
      <c r="L25" s="61"/>
      <c r="M25" s="61"/>
      <c r="N25" s="61"/>
      <c r="O25" s="143"/>
      <c r="P25" s="61"/>
      <c r="Q25" s="106"/>
      <c r="R25" s="48"/>
      <c r="S25" s="48"/>
      <c r="T25" s="48"/>
      <c r="U25" s="48"/>
      <c r="V25" s="48"/>
      <c r="W25" s="48"/>
    </row>
    <row r="26" spans="2:23" ht="20.25" customHeight="1">
      <c r="B26" s="23"/>
      <c r="C26" s="23"/>
      <c r="D26" s="23"/>
      <c r="E26" s="23"/>
      <c r="F26" s="23"/>
      <c r="G26" s="62"/>
      <c r="H26" s="61"/>
      <c r="I26" s="63"/>
      <c r="J26" s="139"/>
      <c r="K26" s="61"/>
      <c r="L26" s="61"/>
      <c r="M26" s="61"/>
      <c r="N26" s="61"/>
      <c r="O26" s="143"/>
      <c r="P26" s="61"/>
      <c r="Q26" s="106"/>
      <c r="R26" s="48"/>
      <c r="S26" s="48"/>
      <c r="T26" s="48"/>
      <c r="U26" s="48"/>
      <c r="V26" s="48"/>
      <c r="W26" s="48"/>
    </row>
    <row r="27" spans="2:23" ht="20.25" customHeight="1">
      <c r="B27" s="23"/>
      <c r="C27" s="23"/>
      <c r="D27" s="23"/>
      <c r="E27" s="23"/>
      <c r="F27" s="23"/>
      <c r="G27" s="62"/>
      <c r="H27" s="61"/>
      <c r="I27" s="63"/>
      <c r="J27" s="139"/>
      <c r="K27" s="61"/>
      <c r="L27" s="61"/>
      <c r="M27" s="61"/>
      <c r="N27" s="61"/>
      <c r="O27" s="143"/>
      <c r="P27" s="61"/>
      <c r="Q27" s="106"/>
      <c r="R27" s="48"/>
      <c r="S27" s="48"/>
      <c r="T27" s="48"/>
      <c r="U27" s="48"/>
      <c r="V27" s="48"/>
      <c r="W27" s="48"/>
    </row>
    <row r="28" spans="2:23" ht="20.25" customHeight="1">
      <c r="B28" s="23"/>
      <c r="C28" s="23"/>
      <c r="D28" s="23"/>
      <c r="E28" s="23"/>
      <c r="F28" s="23"/>
      <c r="G28" s="62"/>
      <c r="H28" s="61"/>
      <c r="I28" s="63"/>
      <c r="J28" s="139"/>
      <c r="K28" s="61"/>
      <c r="L28" s="61"/>
      <c r="M28" s="61"/>
      <c r="N28" s="61"/>
      <c r="O28" s="143"/>
      <c r="P28" s="61"/>
      <c r="Q28" s="106"/>
      <c r="R28" s="48"/>
      <c r="S28" s="48"/>
      <c r="T28" s="48"/>
      <c r="U28" s="48"/>
      <c r="V28" s="48"/>
      <c r="W28" s="48"/>
    </row>
    <row r="29" spans="2:23" ht="20.25" customHeight="1">
      <c r="B29" s="23"/>
      <c r="C29" s="23"/>
      <c r="D29" s="23"/>
      <c r="E29" s="23"/>
      <c r="F29" s="23"/>
      <c r="G29" s="62"/>
      <c r="H29" s="61"/>
      <c r="I29" s="63"/>
      <c r="J29" s="139"/>
      <c r="K29" s="61"/>
      <c r="L29" s="61"/>
      <c r="M29" s="61"/>
      <c r="N29" s="61"/>
      <c r="O29" s="143"/>
      <c r="P29" s="61"/>
      <c r="Q29" s="106"/>
      <c r="R29" s="48"/>
      <c r="S29" s="48"/>
      <c r="T29" s="48"/>
      <c r="U29" s="48"/>
      <c r="V29" s="48"/>
      <c r="W29" s="48"/>
    </row>
  </sheetData>
  <sheetProtection/>
  <mergeCells count="10">
    <mergeCell ref="C6:F6"/>
    <mergeCell ref="G6:G7"/>
    <mergeCell ref="P5:P7"/>
    <mergeCell ref="L1:P1"/>
    <mergeCell ref="H5:H7"/>
    <mergeCell ref="K6:N6"/>
    <mergeCell ref="O6:O7"/>
    <mergeCell ref="B3:P3"/>
    <mergeCell ref="B5:B7"/>
    <mergeCell ref="C5:G5"/>
  </mergeCells>
  <printOptions/>
  <pageMargins left="0.35433070866141736" right="0.15748031496062992" top="0.31496062992125984" bottom="0.3937007874015748" header="0.31496062992125984" footer="0.31496062992125984"/>
  <pageSetup fitToHeight="4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85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7109375" style="0" customWidth="1"/>
    <col min="2" max="2" width="44.421875" style="0" customWidth="1"/>
    <col min="3" max="3" width="51.28125" style="0" customWidth="1"/>
    <col min="7" max="7" width="7.57421875" style="230" hidden="1" customWidth="1"/>
    <col min="8" max="8" width="7.8515625" style="230" hidden="1" customWidth="1"/>
    <col min="9" max="9" width="8.7109375" style="230" hidden="1" customWidth="1"/>
    <col min="10" max="10" width="8.140625" style="230" hidden="1" customWidth="1"/>
    <col min="11" max="11" width="7.421875" style="230" hidden="1" customWidth="1"/>
    <col min="12" max="12" width="6.8515625" style="230" hidden="1" customWidth="1"/>
    <col min="13" max="13" width="6.7109375" style="230" hidden="1" customWidth="1"/>
    <col min="14" max="14" width="15.140625" style="20" customWidth="1"/>
    <col min="15" max="15" width="16.28125" style="20" customWidth="1"/>
    <col min="16" max="16" width="15.8515625" style="20" customWidth="1"/>
    <col min="17" max="16384" width="9.140625" style="20" customWidth="1"/>
  </cols>
  <sheetData>
    <row r="1" spans="3:6" ht="82.5" customHeight="1">
      <c r="C1" s="519" t="s">
        <v>323</v>
      </c>
      <c r="D1" s="519"/>
      <c r="F1" s="271"/>
    </row>
    <row r="2" spans="3:6" ht="51" customHeight="1">
      <c r="C2" s="898"/>
      <c r="D2" s="898"/>
      <c r="E2" s="431"/>
      <c r="F2" s="431"/>
    </row>
    <row r="3" spans="1:13" ht="30" customHeight="1" thickBot="1">
      <c r="A3" s="903" t="s">
        <v>302</v>
      </c>
      <c r="B3" s="903"/>
      <c r="C3" s="903"/>
      <c r="D3" s="797"/>
      <c r="E3" s="797"/>
      <c r="F3" s="797"/>
      <c r="G3" s="797"/>
      <c r="H3" s="797"/>
      <c r="I3" s="797"/>
      <c r="J3" s="797"/>
      <c r="K3" s="797"/>
      <c r="L3" s="797"/>
      <c r="M3" s="797"/>
    </row>
    <row r="4" spans="1:13" ht="21.75" customHeight="1" thickBot="1">
      <c r="A4" s="457"/>
      <c r="B4" s="458"/>
      <c r="C4" s="459"/>
      <c r="D4" s="459"/>
      <c r="E4" s="459"/>
      <c r="F4" s="459"/>
      <c r="G4" s="460"/>
      <c r="H4" s="460"/>
      <c r="I4" s="460"/>
      <c r="J4" s="460"/>
      <c r="K4" s="460"/>
      <c r="L4" s="460"/>
      <c r="M4" s="460"/>
    </row>
    <row r="5" spans="1:13" ht="56.25" customHeight="1" thickBot="1">
      <c r="A5" s="459"/>
      <c r="B5" s="899"/>
      <c r="C5" s="901" t="s">
        <v>317</v>
      </c>
      <c r="D5" s="459"/>
      <c r="E5" s="459"/>
      <c r="F5" s="459"/>
      <c r="G5" s="277"/>
      <c r="H5" s="277"/>
      <c r="I5" s="277"/>
      <c r="J5" s="277"/>
      <c r="K5" s="897" t="s">
        <v>11</v>
      </c>
      <c r="L5" s="897"/>
      <c r="M5" s="897"/>
    </row>
    <row r="6" spans="1:13" ht="117.75" customHeight="1" thickBot="1">
      <c r="A6" s="459"/>
      <c r="B6" s="900"/>
      <c r="C6" s="902"/>
      <c r="D6" s="461"/>
      <c r="E6" s="462"/>
      <c r="F6" s="462"/>
      <c r="G6" s="462"/>
      <c r="H6" s="896" t="s">
        <v>12</v>
      </c>
      <c r="I6" s="896"/>
      <c r="J6" s="896"/>
      <c r="K6" s="897"/>
      <c r="L6" s="897"/>
      <c r="M6" s="897"/>
    </row>
    <row r="7" spans="1:13" ht="57" customHeight="1" thickBot="1">
      <c r="A7" s="459"/>
      <c r="B7" s="527" t="s">
        <v>262</v>
      </c>
      <c r="C7" s="566">
        <f>'приложение 1'!C10</f>
        <v>12321.199999999999</v>
      </c>
      <c r="D7" s="459"/>
      <c r="E7" s="459"/>
      <c r="F7" s="459"/>
      <c r="G7" s="463" t="s">
        <v>20</v>
      </c>
      <c r="H7" s="522"/>
      <c r="I7" s="279" t="s">
        <v>22</v>
      </c>
      <c r="J7" s="280" t="s">
        <v>20</v>
      </c>
      <c r="K7" s="522"/>
      <c r="L7" s="279" t="s">
        <v>21</v>
      </c>
      <c r="M7" s="280" t="s">
        <v>20</v>
      </c>
    </row>
    <row r="8" spans="2:13" ht="35.25" customHeight="1" thickBot="1">
      <c r="B8" s="524" t="s">
        <v>56</v>
      </c>
      <c r="C8" s="525">
        <f>'приложение 2'!H8</f>
        <v>176</v>
      </c>
      <c r="G8" s="234">
        <v>9</v>
      </c>
      <c r="H8" s="233">
        <v>10</v>
      </c>
      <c r="I8" s="233">
        <v>11</v>
      </c>
      <c r="J8" s="234">
        <v>12</v>
      </c>
      <c r="K8" s="232"/>
      <c r="L8" s="233"/>
      <c r="M8" s="235"/>
    </row>
    <row r="9" spans="2:13" ht="30" customHeight="1" thickBot="1">
      <c r="B9" s="432" t="s">
        <v>261</v>
      </c>
      <c r="C9" s="526">
        <f>C7+C8</f>
        <v>12497.199999999999</v>
      </c>
      <c r="G9" s="239">
        <f aca="true" t="shared" si="0" ref="G9:G25">D9/9*12</f>
        <v>0</v>
      </c>
      <c r="H9" s="240">
        <f aca="true" t="shared" si="1" ref="H9:H29">I9+J9</f>
        <v>795</v>
      </c>
      <c r="I9" s="238">
        <v>558</v>
      </c>
      <c r="J9" s="241">
        <v>237</v>
      </c>
      <c r="K9" s="242"/>
      <c r="L9" s="241"/>
      <c r="M9" s="241"/>
    </row>
    <row r="10" spans="1:13" ht="25.5" customHeight="1" hidden="1">
      <c r="A10" s="194"/>
      <c r="B10" s="521" t="s">
        <v>86</v>
      </c>
      <c r="C10" s="433"/>
      <c r="D10" s="427"/>
      <c r="E10" s="427"/>
      <c r="F10" s="427"/>
      <c r="G10" s="239">
        <f t="shared" si="0"/>
        <v>0</v>
      </c>
      <c r="H10" s="245">
        <f t="shared" si="1"/>
        <v>25434</v>
      </c>
      <c r="I10" s="246"/>
      <c r="J10" s="247">
        <v>25434</v>
      </c>
      <c r="K10" s="248"/>
      <c r="L10" s="247"/>
      <c r="M10" s="247"/>
    </row>
    <row r="11" spans="2:13" ht="18.75">
      <c r="B11" s="434"/>
      <c r="C11" s="194"/>
      <c r="G11" s="239">
        <f t="shared" si="0"/>
        <v>0</v>
      </c>
      <c r="H11" s="245">
        <f t="shared" si="1"/>
        <v>7471</v>
      </c>
      <c r="I11" s="246">
        <v>7471</v>
      </c>
      <c r="J11" s="247"/>
      <c r="K11" s="248"/>
      <c r="L11" s="247"/>
      <c r="M11" s="247"/>
    </row>
    <row r="12" spans="7:13" ht="15">
      <c r="G12" s="239">
        <f t="shared" si="0"/>
        <v>0</v>
      </c>
      <c r="H12" s="245">
        <f t="shared" si="1"/>
        <v>902</v>
      </c>
      <c r="I12" s="246">
        <v>853</v>
      </c>
      <c r="J12" s="247">
        <v>49</v>
      </c>
      <c r="K12" s="248"/>
      <c r="L12" s="247"/>
      <c r="M12" s="247"/>
    </row>
    <row r="13" spans="7:13" ht="15">
      <c r="G13" s="239">
        <f t="shared" si="0"/>
        <v>0</v>
      </c>
      <c r="H13" s="245">
        <f t="shared" si="1"/>
        <v>38</v>
      </c>
      <c r="I13" s="246">
        <v>21</v>
      </c>
      <c r="J13" s="247">
        <v>17</v>
      </c>
      <c r="K13" s="248"/>
      <c r="L13" s="247"/>
      <c r="M13" s="247"/>
    </row>
    <row r="14" spans="7:13" ht="15">
      <c r="G14" s="239">
        <f t="shared" si="0"/>
        <v>0</v>
      </c>
      <c r="H14" s="245">
        <f t="shared" si="1"/>
        <v>0</v>
      </c>
      <c r="I14" s="246"/>
      <c r="J14" s="247"/>
      <c r="K14" s="248"/>
      <c r="L14" s="247"/>
      <c r="M14" s="247"/>
    </row>
    <row r="15" spans="7:13" ht="15">
      <c r="G15" s="239">
        <f t="shared" si="0"/>
        <v>0</v>
      </c>
      <c r="H15" s="245">
        <f t="shared" si="1"/>
        <v>1150</v>
      </c>
      <c r="I15" s="246">
        <v>863</v>
      </c>
      <c r="J15" s="247">
        <v>287</v>
      </c>
      <c r="K15" s="248"/>
      <c r="L15" s="247"/>
      <c r="M15" s="247"/>
    </row>
    <row r="16" spans="7:13" ht="15">
      <c r="G16" s="239">
        <f t="shared" si="0"/>
        <v>0</v>
      </c>
      <c r="H16" s="245">
        <f t="shared" si="1"/>
        <v>205</v>
      </c>
      <c r="I16" s="246">
        <v>58</v>
      </c>
      <c r="J16" s="247">
        <v>147</v>
      </c>
      <c r="K16" s="248"/>
      <c r="L16" s="247"/>
      <c r="M16" s="247"/>
    </row>
    <row r="17" spans="7:13" ht="15">
      <c r="G17" s="239">
        <f t="shared" si="0"/>
        <v>0</v>
      </c>
      <c r="H17" s="245">
        <f t="shared" si="1"/>
        <v>3747</v>
      </c>
      <c r="I17" s="246">
        <v>1158</v>
      </c>
      <c r="J17" s="247">
        <v>2589</v>
      </c>
      <c r="K17" s="248"/>
      <c r="L17" s="247"/>
      <c r="M17" s="247"/>
    </row>
    <row r="18" spans="7:13" ht="15">
      <c r="G18" s="239">
        <f t="shared" si="0"/>
        <v>0</v>
      </c>
      <c r="H18" s="245">
        <f t="shared" si="1"/>
        <v>836</v>
      </c>
      <c r="I18" s="246"/>
      <c r="J18" s="247">
        <v>836</v>
      </c>
      <c r="K18" s="248"/>
      <c r="L18" s="247"/>
      <c r="M18" s="247"/>
    </row>
    <row r="19" spans="7:13" ht="15">
      <c r="G19" s="239">
        <f t="shared" si="0"/>
        <v>0</v>
      </c>
      <c r="H19" s="245">
        <f t="shared" si="1"/>
        <v>0</v>
      </c>
      <c r="I19" s="246"/>
      <c r="J19" s="247"/>
      <c r="K19" s="248"/>
      <c r="L19" s="247"/>
      <c r="M19" s="247"/>
    </row>
    <row r="20" spans="7:13" ht="15">
      <c r="G20" s="239">
        <f t="shared" si="0"/>
        <v>0</v>
      </c>
      <c r="H20" s="245">
        <f t="shared" si="1"/>
        <v>0</v>
      </c>
      <c r="I20" s="246"/>
      <c r="J20" s="247"/>
      <c r="K20" s="248"/>
      <c r="L20" s="247"/>
      <c r="M20" s="247"/>
    </row>
    <row r="21" spans="7:13" ht="15">
      <c r="G21" s="239">
        <f t="shared" si="0"/>
        <v>0</v>
      </c>
      <c r="H21" s="245">
        <f t="shared" si="1"/>
        <v>8047</v>
      </c>
      <c r="I21" s="246">
        <v>2158</v>
      </c>
      <c r="J21" s="247">
        <v>5889</v>
      </c>
      <c r="K21" s="248"/>
      <c r="L21" s="247"/>
      <c r="M21" s="247"/>
    </row>
    <row r="22" spans="7:13" ht="15">
      <c r="G22" s="239">
        <f t="shared" si="0"/>
        <v>0</v>
      </c>
      <c r="H22" s="245">
        <f t="shared" si="1"/>
        <v>9993</v>
      </c>
      <c r="I22" s="246">
        <v>9944</v>
      </c>
      <c r="J22" s="247">
        <v>49</v>
      </c>
      <c r="K22" s="248"/>
      <c r="L22" s="247"/>
      <c r="M22" s="247"/>
    </row>
    <row r="23" spans="7:13" ht="15">
      <c r="G23" s="239">
        <f t="shared" si="0"/>
        <v>0</v>
      </c>
      <c r="H23" s="245">
        <f t="shared" si="1"/>
        <v>3044</v>
      </c>
      <c r="I23" s="246">
        <v>1610</v>
      </c>
      <c r="J23" s="247">
        <v>1434</v>
      </c>
      <c r="K23" s="248"/>
      <c r="L23" s="247"/>
      <c r="M23" s="247"/>
    </row>
    <row r="24" spans="7:13" ht="15">
      <c r="G24" s="239">
        <f t="shared" si="0"/>
        <v>0</v>
      </c>
      <c r="H24" s="245">
        <f t="shared" si="1"/>
        <v>3271</v>
      </c>
      <c r="I24" s="246">
        <v>2083</v>
      </c>
      <c r="J24" s="247">
        <v>1188</v>
      </c>
      <c r="K24" s="248"/>
      <c r="L24" s="247"/>
      <c r="M24" s="247"/>
    </row>
    <row r="25" spans="7:13" ht="15">
      <c r="G25" s="254">
        <f t="shared" si="0"/>
        <v>0</v>
      </c>
      <c r="H25" s="245">
        <f t="shared" si="1"/>
        <v>2894</v>
      </c>
      <c r="I25" s="246">
        <v>2189</v>
      </c>
      <c r="J25" s="247">
        <v>705</v>
      </c>
      <c r="K25" s="248"/>
      <c r="L25" s="247"/>
      <c r="M25" s="247"/>
    </row>
    <row r="26" spans="7:13" ht="15">
      <c r="G26" s="255"/>
      <c r="H26" s="245">
        <f t="shared" si="1"/>
        <v>5337</v>
      </c>
      <c r="I26" s="246">
        <v>2052</v>
      </c>
      <c r="J26" s="247">
        <v>3285</v>
      </c>
      <c r="K26" s="248"/>
      <c r="L26" s="247"/>
      <c r="M26" s="247"/>
    </row>
    <row r="27" spans="7:13" ht="15">
      <c r="G27" s="255"/>
      <c r="H27" s="245">
        <f t="shared" si="1"/>
        <v>11386</v>
      </c>
      <c r="I27" s="246">
        <v>5357</v>
      </c>
      <c r="J27" s="247">
        <v>6029</v>
      </c>
      <c r="K27" s="248"/>
      <c r="L27" s="247"/>
      <c r="M27" s="247"/>
    </row>
    <row r="28" spans="7:13" ht="15.75" thickBot="1">
      <c r="G28" s="257"/>
      <c r="H28" s="258">
        <f t="shared" si="1"/>
        <v>32178</v>
      </c>
      <c r="I28" s="256">
        <v>15140</v>
      </c>
      <c r="J28" s="259">
        <v>17038</v>
      </c>
      <c r="K28" s="260"/>
      <c r="L28" s="259"/>
      <c r="M28" s="259"/>
    </row>
    <row r="29" spans="7:16" ht="15.75" thickBot="1">
      <c r="G29" s="263">
        <f>SUM(G10:G25)</f>
        <v>0</v>
      </c>
      <c r="H29" s="264">
        <f t="shared" si="1"/>
        <v>116728</v>
      </c>
      <c r="I29" s="262">
        <f>SUM(I9:I28)</f>
        <v>51515</v>
      </c>
      <c r="J29" s="265">
        <f>SUM(J9:J28)</f>
        <v>65213</v>
      </c>
      <c r="K29" s="261">
        <v>2765</v>
      </c>
      <c r="L29" s="262"/>
      <c r="M29" s="265"/>
      <c r="N29" s="29"/>
      <c r="O29" s="29"/>
      <c r="P29" s="29"/>
    </row>
    <row r="30" spans="7:16" ht="15">
      <c r="G30" s="266"/>
      <c r="H30" s="266"/>
      <c r="I30" s="266"/>
      <c r="J30" s="266"/>
      <c r="K30" s="266"/>
      <c r="L30" s="266"/>
      <c r="M30" s="266"/>
      <c r="N30" s="29"/>
      <c r="O30" s="29"/>
      <c r="P30" s="29"/>
    </row>
    <row r="31" spans="7:16" ht="15.75" thickBot="1">
      <c r="G31" s="267"/>
      <c r="H31" s="267"/>
      <c r="I31" s="267"/>
      <c r="J31" s="267"/>
      <c r="K31" s="267"/>
      <c r="L31" s="267"/>
      <c r="M31" s="267"/>
      <c r="N31" s="29"/>
      <c r="O31" s="29"/>
      <c r="P31" s="29"/>
    </row>
    <row r="32" spans="7:16" ht="15">
      <c r="G32" s="271"/>
      <c r="H32" s="271"/>
      <c r="I32" s="271"/>
      <c r="J32" s="271"/>
      <c r="K32" s="271"/>
      <c r="L32" s="271"/>
      <c r="M32" s="271"/>
      <c r="N32" s="29"/>
      <c r="O32" s="29"/>
      <c r="P32" s="29"/>
    </row>
    <row r="33" spans="7:16" ht="15">
      <c r="G33" s="272"/>
      <c r="H33" s="272"/>
      <c r="I33" s="272"/>
      <c r="J33" s="272"/>
      <c r="K33" s="272"/>
      <c r="L33" s="272"/>
      <c r="M33" s="272"/>
      <c r="N33" s="29"/>
      <c r="O33" s="29"/>
      <c r="P33" s="29"/>
    </row>
    <row r="34" spans="7:16" ht="15">
      <c r="G34" s="273"/>
      <c r="H34" s="273"/>
      <c r="I34" s="273"/>
      <c r="J34" s="273"/>
      <c r="K34" s="273"/>
      <c r="L34" s="273"/>
      <c r="M34" s="273"/>
      <c r="N34" s="29"/>
      <c r="O34" s="29"/>
      <c r="P34" s="29"/>
    </row>
    <row r="35" spans="7:16" ht="15">
      <c r="G35" s="272"/>
      <c r="H35" s="272"/>
      <c r="I35" s="272"/>
      <c r="J35" s="272"/>
      <c r="K35" s="272"/>
      <c r="L35" s="272"/>
      <c r="M35" s="272"/>
      <c r="N35" s="29"/>
      <c r="O35" s="29"/>
      <c r="P35" s="29"/>
    </row>
    <row r="36" spans="7:16" ht="15">
      <c r="G36" s="274"/>
      <c r="H36" s="274"/>
      <c r="I36" s="274"/>
      <c r="J36" s="274"/>
      <c r="K36" s="274"/>
      <c r="L36" s="274"/>
      <c r="M36" s="274"/>
      <c r="N36" s="29"/>
      <c r="O36" s="29"/>
      <c r="P36" s="29"/>
    </row>
    <row r="37" spans="14:16" ht="15">
      <c r="N37" s="29"/>
      <c r="O37" s="29"/>
      <c r="P37" s="29"/>
    </row>
    <row r="38" ht="15">
      <c r="O38" s="29"/>
    </row>
    <row r="39" ht="15">
      <c r="O39" s="29"/>
    </row>
    <row r="40" ht="15">
      <c r="O40" s="29"/>
    </row>
    <row r="41" ht="15">
      <c r="O41" s="29"/>
    </row>
    <row r="42" ht="15">
      <c r="O42" s="29"/>
    </row>
    <row r="43" ht="15">
      <c r="O43" s="29"/>
    </row>
    <row r="44" ht="15">
      <c r="O44" s="29"/>
    </row>
    <row r="45" ht="15">
      <c r="O45" s="29"/>
    </row>
    <row r="46" ht="15">
      <c r="O46" s="29"/>
    </row>
    <row r="47" ht="15">
      <c r="O47" s="29"/>
    </row>
    <row r="48" ht="15">
      <c r="O48" s="29"/>
    </row>
    <row r="49" ht="15">
      <c r="O49" s="29"/>
    </row>
    <row r="50" ht="15">
      <c r="O50" s="29"/>
    </row>
    <row r="51" ht="15">
      <c r="O51" s="29"/>
    </row>
    <row r="52" ht="15">
      <c r="O52" s="29"/>
    </row>
    <row r="53" ht="15">
      <c r="O53" s="29"/>
    </row>
    <row r="57" ht="15" customHeight="1" hidden="1"/>
    <row r="58" ht="15.75" customHeight="1" hidden="1" thickBot="1"/>
    <row r="59" ht="15" customHeight="1" hidden="1"/>
    <row r="60" ht="65.25" customHeight="1" hidden="1"/>
    <row r="61" ht="15" customHeight="1" hidden="1" thickBot="1"/>
    <row r="62" ht="15.75" customHeight="1" hidden="1" thickBo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>
      <c r="O69" s="29"/>
    </row>
    <row r="70" ht="15" customHeight="1" hidden="1">
      <c r="O70" s="29"/>
    </row>
    <row r="71" ht="15" customHeight="1" hidden="1">
      <c r="O71" s="29"/>
    </row>
    <row r="72" ht="15" customHeight="1" hidden="1">
      <c r="O72" s="29"/>
    </row>
    <row r="73" ht="15" customHeight="1" hidden="1">
      <c r="O73" s="29"/>
    </row>
    <row r="74" ht="15" customHeight="1" hidden="1">
      <c r="O74" s="29"/>
    </row>
    <row r="75" ht="15" customHeight="1" hidden="1">
      <c r="O75" s="29"/>
    </row>
    <row r="76" ht="15" customHeight="1" hidden="1">
      <c r="O76" s="29"/>
    </row>
    <row r="77" ht="15" customHeight="1" hidden="1">
      <c r="O77" s="29"/>
    </row>
    <row r="78" ht="15" customHeight="1" hidden="1">
      <c r="O78" s="29"/>
    </row>
    <row r="79" ht="15" customHeight="1" hidden="1">
      <c r="O79" s="29"/>
    </row>
    <row r="80" ht="15" customHeight="1" hidden="1">
      <c r="O80" s="29"/>
    </row>
    <row r="81" ht="15" customHeight="1" hidden="1">
      <c r="O81" s="29"/>
    </row>
    <row r="82" ht="15" customHeight="1" hidden="1">
      <c r="O82" s="29"/>
    </row>
    <row r="83" ht="15" customHeight="1" hidden="1">
      <c r="O83" s="29"/>
    </row>
    <row r="84" ht="15.75" customHeight="1" hidden="1" thickBot="1">
      <c r="O84" s="29"/>
    </row>
    <row r="85" ht="15.75" customHeight="1" hidden="1" thickBot="1">
      <c r="O85" s="29"/>
    </row>
    <row r="86" ht="15" customHeight="1" hidden="1"/>
    <row r="87" ht="15" customHeight="1" hidden="1"/>
    <row r="88" ht="15" customHeight="1" hidden="1"/>
    <row r="89" ht="15.75" customHeight="1" hidden="1" thickBot="1"/>
    <row r="90" ht="15" customHeight="1" hidden="1"/>
    <row r="91" ht="65.25" customHeight="1" hidden="1"/>
    <row r="92" ht="15" customHeight="1" hidden="1" thickBot="1"/>
    <row r="93" ht="15.75" customHeight="1" hidden="1" thickBot="1"/>
    <row r="94" ht="15.75" customHeight="1" hidden="1" thickBot="1"/>
    <row r="95" ht="15.75" customHeight="1" hidden="1" thickBot="1"/>
    <row r="96" ht="15" customHeight="1" hidden="1"/>
    <row r="97" ht="15" customHeight="1" hidden="1"/>
    <row r="98" ht="15" customHeight="1" hidden="1"/>
    <row r="99" ht="15.75" customHeight="1" hidden="1" thickBot="1"/>
    <row r="100" ht="15" customHeight="1" hidden="1"/>
    <row r="101" ht="65.25" customHeight="1" hidden="1"/>
    <row r="102" ht="15" customHeight="1" hidden="1" thickBot="1"/>
    <row r="103" ht="15.75" customHeight="1" hidden="1" thickBot="1"/>
    <row r="104" ht="15.75" customHeight="1" hidden="1" thickBot="1"/>
    <row r="105" ht="15.75" customHeight="1" hidden="1" thickBot="1"/>
    <row r="106" ht="15" customHeight="1" hidden="1"/>
    <row r="107" ht="15" customHeight="1" hidden="1"/>
    <row r="108" ht="15" customHeight="1" hidden="1"/>
    <row r="109" ht="15.75" customHeight="1" hidden="1" thickBot="1"/>
    <row r="110" ht="15" customHeight="1" hidden="1"/>
    <row r="111" ht="65.25" customHeight="1" hidden="1"/>
    <row r="112" ht="15" customHeight="1" hidden="1" thickBot="1"/>
    <row r="113" ht="15.75" customHeight="1" hidden="1" thickBot="1"/>
    <row r="114" ht="15.75" customHeight="1" hidden="1" thickBot="1"/>
    <row r="115" ht="15.75" customHeight="1" hidden="1" thickBot="1"/>
    <row r="116" ht="15" customHeight="1" hidden="1"/>
    <row r="117" ht="15" customHeight="1" hidden="1"/>
    <row r="118" ht="15.75" customHeight="1" hidden="1" thickBot="1"/>
    <row r="119" ht="15" customHeight="1" hidden="1"/>
    <row r="120" ht="65.25" customHeight="1" hidden="1"/>
    <row r="121" ht="15" customHeight="1" hidden="1" thickBot="1"/>
    <row r="122" ht="15.75" customHeight="1" hidden="1" thickBot="1"/>
    <row r="123" ht="15" customHeight="1" hidden="1"/>
    <row r="124" ht="15" customHeight="1" hidden="1"/>
    <row r="125" ht="15" customHeight="1" hidden="1"/>
    <row r="126" ht="15" customHeight="1" hidden="1"/>
    <row r="127" ht="15.75" customHeight="1" hidden="1" thickBot="1"/>
    <row r="128" ht="15.75" customHeight="1" hidden="1" thickBot="1"/>
    <row r="129" ht="15" customHeight="1" hidden="1"/>
    <row r="130" ht="15" customHeight="1" hidden="1"/>
    <row r="131" ht="15.75" customHeight="1" hidden="1" thickBot="1"/>
    <row r="132" ht="15" customHeight="1" hidden="1"/>
    <row r="133" ht="65.25" customHeight="1" hidden="1"/>
    <row r="134" ht="15" customHeight="1" hidden="1" thickBot="1"/>
    <row r="135" ht="15.75" customHeight="1" hidden="1" thickBot="1"/>
    <row r="136" ht="15.75" customHeight="1" hidden="1" thickBot="1"/>
    <row r="137" ht="15.75" customHeight="1" hidden="1" thickBot="1"/>
    <row r="138" ht="15" customHeight="1" hidden="1"/>
    <row r="139" ht="15" customHeight="1" hidden="1"/>
    <row r="140" ht="15.75" customHeight="1" hidden="1" thickBot="1"/>
    <row r="141" ht="15" customHeight="1" hidden="1"/>
    <row r="142" ht="65.25" customHeight="1" hidden="1"/>
    <row r="143" ht="15" customHeight="1" hidden="1" thickBot="1"/>
    <row r="144" ht="15.75" customHeight="1" hidden="1" thickBot="1"/>
    <row r="145" ht="15" customHeight="1" hidden="1"/>
    <row r="146" ht="15.75" customHeight="1" hidden="1" thickBot="1"/>
    <row r="147" ht="15.75" customHeight="1" hidden="1" thickBot="1"/>
    <row r="148" ht="15" customHeight="1" hidden="1"/>
  </sheetData>
  <sheetProtection/>
  <mergeCells count="6">
    <mergeCell ref="H6:J6"/>
    <mergeCell ref="K5:M6"/>
    <mergeCell ref="C2:D2"/>
    <mergeCell ref="B5:B6"/>
    <mergeCell ref="C5:C6"/>
    <mergeCell ref="A3:C3"/>
  </mergeCells>
  <printOptions/>
  <pageMargins left="0.31496062992125984" right="0.2755905511811024" top="0.7480314960629921" bottom="0.7480314960629921" header="0.31496062992125984" footer="0.31496062992125984"/>
  <pageSetup fitToHeight="0" horizontalDpi="600" verticalDpi="600" orientation="portrait" paperSize="9" scale="95" r:id="rId1"/>
  <colBreaks count="1" manualBreakCount="1">
    <brk id="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72"/>
  <sheetViews>
    <sheetView view="pageBreakPreview" zoomScale="70" zoomScaleSheetLayoutView="70" zoomScalePageLayoutView="0" workbookViewId="0" topLeftCell="A1">
      <selection activeCell="M1" sqref="M1:R1"/>
    </sheetView>
  </sheetViews>
  <sheetFormatPr defaultColWidth="9.140625" defaultRowHeight="15"/>
  <cols>
    <col min="1" max="1" width="37.8515625" style="228" customWidth="1"/>
    <col min="2" max="2" width="12.8515625" style="230" customWidth="1"/>
    <col min="3" max="3" width="10.28125" style="230" customWidth="1"/>
    <col min="4" max="4" width="10.28125" style="230" hidden="1" customWidth="1"/>
    <col min="5" max="5" width="10.28125" style="230" customWidth="1"/>
    <col min="6" max="6" width="10.140625" style="740" hidden="1" customWidth="1"/>
    <col min="7" max="7" width="13.00390625" style="230" customWidth="1"/>
    <col min="8" max="8" width="13.28125" style="230" customWidth="1"/>
    <col min="9" max="9" width="12.28125" style="604" customWidth="1"/>
    <col min="10" max="10" width="12.140625" style="604" customWidth="1"/>
    <col min="11" max="11" width="12.28125" style="604" customWidth="1"/>
    <col min="12" max="12" width="12.8515625" style="604" customWidth="1"/>
    <col min="13" max="13" width="9.57421875" style="230" customWidth="1"/>
    <col min="14" max="14" width="8.28125" style="230" customWidth="1"/>
    <col min="15" max="15" width="8.7109375" style="230" customWidth="1"/>
    <col min="16" max="16" width="9.421875" style="230" customWidth="1"/>
    <col min="17" max="17" width="9.28125" style="230" customWidth="1"/>
    <col min="18" max="18" width="8.28125" style="230" customWidth="1"/>
    <col min="19" max="19" width="15.140625" style="20" customWidth="1"/>
    <col min="20" max="20" width="16.28125" style="20" customWidth="1"/>
    <col min="21" max="21" width="15.8515625" style="20" customWidth="1"/>
    <col min="22" max="16384" width="9.140625" style="20" customWidth="1"/>
  </cols>
  <sheetData>
    <row r="1" spans="9:18" ht="63.75" customHeight="1">
      <c r="I1" s="617"/>
      <c r="J1" s="617"/>
      <c r="K1" s="617"/>
      <c r="L1" s="617"/>
      <c r="M1" s="910" t="s">
        <v>324</v>
      </c>
      <c r="N1" s="910"/>
      <c r="O1" s="910"/>
      <c r="P1" s="910"/>
      <c r="Q1" s="910"/>
      <c r="R1" s="910"/>
    </row>
    <row r="2" spans="9:18" ht="15.75" customHeight="1">
      <c r="I2" s="617"/>
      <c r="J2" s="617"/>
      <c r="K2" s="617"/>
      <c r="L2" s="617"/>
      <c r="R2" s="520"/>
    </row>
    <row r="3" spans="1:18" ht="30" customHeight="1" thickBot="1">
      <c r="A3" s="903" t="s">
        <v>265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</row>
    <row r="4" spans="1:18" s="64" customFormat="1" ht="44.25" customHeight="1" thickBot="1">
      <c r="A4" s="932"/>
      <c r="B4" s="911" t="s">
        <v>317</v>
      </c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</row>
    <row r="5" spans="1:18" s="64" customFormat="1" ht="53.25" customHeight="1" thickBot="1">
      <c r="A5" s="933"/>
      <c r="B5" s="919" t="s">
        <v>235</v>
      </c>
      <c r="C5" s="920"/>
      <c r="D5" s="921"/>
      <c r="E5" s="921"/>
      <c r="F5" s="922"/>
      <c r="G5" s="923" t="s">
        <v>264</v>
      </c>
      <c r="H5" s="924"/>
      <c r="I5" s="924"/>
      <c r="J5" s="924"/>
      <c r="K5" s="924"/>
      <c r="L5" s="925"/>
      <c r="M5" s="904" t="s">
        <v>1</v>
      </c>
      <c r="N5" s="905"/>
      <c r="O5" s="906"/>
      <c r="P5" s="904" t="s">
        <v>2</v>
      </c>
      <c r="Q5" s="905"/>
      <c r="R5" s="906"/>
    </row>
    <row r="6" spans="1:18" s="64" customFormat="1" ht="48.75" customHeight="1">
      <c r="A6" s="933"/>
      <c r="B6" s="930" t="s">
        <v>17</v>
      </c>
      <c r="C6" s="907" t="s">
        <v>18</v>
      </c>
      <c r="D6" s="908"/>
      <c r="E6" s="908"/>
      <c r="F6" s="909"/>
      <c r="G6" s="928" t="s">
        <v>233</v>
      </c>
      <c r="H6" s="917" t="s">
        <v>234</v>
      </c>
      <c r="I6" s="915" t="s">
        <v>13</v>
      </c>
      <c r="J6" s="915" t="s">
        <v>14</v>
      </c>
      <c r="K6" s="915" t="s">
        <v>15</v>
      </c>
      <c r="L6" s="935" t="s">
        <v>16</v>
      </c>
      <c r="M6" s="926" t="s">
        <v>17</v>
      </c>
      <c r="N6" s="913" t="s">
        <v>18</v>
      </c>
      <c r="O6" s="914"/>
      <c r="P6" s="926" t="s">
        <v>17</v>
      </c>
      <c r="Q6" s="913" t="s">
        <v>18</v>
      </c>
      <c r="R6" s="914"/>
    </row>
    <row r="7" spans="1:18" s="64" customFormat="1" ht="50.25" customHeight="1" thickBot="1">
      <c r="A7" s="934"/>
      <c r="B7" s="931"/>
      <c r="C7" s="528" t="s">
        <v>21</v>
      </c>
      <c r="D7" s="738" t="s">
        <v>305</v>
      </c>
      <c r="E7" s="528" t="s">
        <v>20</v>
      </c>
      <c r="F7" s="741" t="s">
        <v>305</v>
      </c>
      <c r="G7" s="929"/>
      <c r="H7" s="918"/>
      <c r="I7" s="916"/>
      <c r="J7" s="916"/>
      <c r="K7" s="916"/>
      <c r="L7" s="936"/>
      <c r="M7" s="927"/>
      <c r="N7" s="529" t="s">
        <v>21</v>
      </c>
      <c r="O7" s="530" t="s">
        <v>20</v>
      </c>
      <c r="P7" s="927"/>
      <c r="Q7" s="529" t="s">
        <v>21</v>
      </c>
      <c r="R7" s="530" t="s">
        <v>20</v>
      </c>
    </row>
    <row r="8" spans="1:18" s="64" customFormat="1" ht="23.25" customHeight="1" thickBot="1">
      <c r="A8" s="531" t="s">
        <v>23</v>
      </c>
      <c r="B8" s="745">
        <v>7</v>
      </c>
      <c r="C8" s="746">
        <v>8</v>
      </c>
      <c r="D8" s="747"/>
      <c r="E8" s="746">
        <v>9</v>
      </c>
      <c r="F8" s="748"/>
      <c r="G8" s="532">
        <v>10</v>
      </c>
      <c r="H8" s="533">
        <v>11</v>
      </c>
      <c r="I8" s="605">
        <v>12</v>
      </c>
      <c r="J8" s="605">
        <v>13</v>
      </c>
      <c r="K8" s="605">
        <v>14</v>
      </c>
      <c r="L8" s="800">
        <v>15</v>
      </c>
      <c r="M8" s="532">
        <v>16</v>
      </c>
      <c r="N8" s="535">
        <v>17</v>
      </c>
      <c r="O8" s="536">
        <v>18</v>
      </c>
      <c r="P8" s="535">
        <v>19</v>
      </c>
      <c r="Q8" s="533">
        <v>20</v>
      </c>
      <c r="R8" s="534">
        <v>21</v>
      </c>
    </row>
    <row r="9" spans="1:18" s="64" customFormat="1" ht="24.75" customHeight="1">
      <c r="A9" s="537" t="s">
        <v>24</v>
      </c>
      <c r="B9" s="564">
        <f aca="true" t="shared" si="0" ref="B9:B25">C9+E9</f>
        <v>298</v>
      </c>
      <c r="C9" s="565">
        <f>N9-H9-G9</f>
        <v>100</v>
      </c>
      <c r="D9" s="750">
        <f>C9/2</f>
        <v>50</v>
      </c>
      <c r="E9" s="565">
        <f aca="true" t="shared" si="1" ref="E9:E25">O9-L9-K9-J9-I9</f>
        <v>198</v>
      </c>
      <c r="F9" s="753">
        <f>E9/2</f>
        <v>99</v>
      </c>
      <c r="G9" s="801"/>
      <c r="H9" s="565">
        <f>2002-597</f>
        <v>1405</v>
      </c>
      <c r="I9" s="802"/>
      <c r="J9" s="802"/>
      <c r="K9" s="802"/>
      <c r="L9" s="803"/>
      <c r="M9" s="539">
        <f>N9+O9</f>
        <v>1703</v>
      </c>
      <c r="N9" s="483">
        <f>2400-198-100-597</f>
        <v>1505</v>
      </c>
      <c r="O9" s="486">
        <f>100+98</f>
        <v>198</v>
      </c>
      <c r="P9" s="540">
        <f>Q9+R9</f>
        <v>0</v>
      </c>
      <c r="Q9" s="469"/>
      <c r="R9" s="541"/>
    </row>
    <row r="10" spans="1:18" s="64" customFormat="1" ht="24.75" customHeight="1">
      <c r="A10" s="542" t="s">
        <v>25</v>
      </c>
      <c r="B10" s="543">
        <f t="shared" si="0"/>
        <v>13245</v>
      </c>
      <c r="C10" s="287">
        <f aca="true" t="shared" si="2" ref="C10:C25">N10-H10-G10</f>
        <v>0</v>
      </c>
      <c r="D10" s="749">
        <f aca="true" t="shared" si="3" ref="D10:D25">C10/2</f>
        <v>0</v>
      </c>
      <c r="E10" s="287">
        <f t="shared" si="1"/>
        <v>13245</v>
      </c>
      <c r="F10" s="754">
        <f aca="true" t="shared" si="4" ref="F10:F25">E10/2</f>
        <v>6622.5</v>
      </c>
      <c r="G10" s="804"/>
      <c r="H10" s="287"/>
      <c r="I10" s="606">
        <v>59</v>
      </c>
      <c r="J10" s="606">
        <v>10506</v>
      </c>
      <c r="K10" s="606">
        <v>1090</v>
      </c>
      <c r="L10" s="805">
        <v>5100</v>
      </c>
      <c r="M10" s="544">
        <f aca="true" t="shared" si="5" ref="M10:M28">N10+O10</f>
        <v>30000</v>
      </c>
      <c r="N10" s="487"/>
      <c r="O10" s="489">
        <v>30000</v>
      </c>
      <c r="P10" s="540">
        <f aca="true" t="shared" si="6" ref="P10:P29">Q10+R10</f>
        <v>10000</v>
      </c>
      <c r="Q10" s="469"/>
      <c r="R10" s="541">
        <v>10000</v>
      </c>
    </row>
    <row r="11" spans="1:18" s="64" customFormat="1" ht="24.75" customHeight="1">
      <c r="A11" s="542" t="s">
        <v>26</v>
      </c>
      <c r="B11" s="543">
        <f t="shared" si="0"/>
        <v>8915</v>
      </c>
      <c r="C11" s="287">
        <f>N11-H11-G11</f>
        <v>8915</v>
      </c>
      <c r="D11" s="749">
        <f t="shared" si="3"/>
        <v>4457.5</v>
      </c>
      <c r="E11" s="287">
        <f t="shared" si="1"/>
        <v>0</v>
      </c>
      <c r="F11" s="754">
        <f t="shared" si="4"/>
        <v>0</v>
      </c>
      <c r="G11" s="804">
        <f>1000-320</f>
        <v>680</v>
      </c>
      <c r="H11" s="287">
        <f>2002+602-301-898</f>
        <v>1405</v>
      </c>
      <c r="I11" s="606"/>
      <c r="J11" s="606"/>
      <c r="K11" s="606"/>
      <c r="L11" s="805"/>
      <c r="M11" s="544">
        <f t="shared" si="5"/>
        <v>11000</v>
      </c>
      <c r="N11" s="487">
        <f>12000-1000</f>
        <v>11000</v>
      </c>
      <c r="O11" s="489"/>
      <c r="P11" s="540">
        <f t="shared" si="6"/>
        <v>9000</v>
      </c>
      <c r="Q11" s="469">
        <v>9000</v>
      </c>
      <c r="R11" s="541"/>
    </row>
    <row r="12" spans="1:18" s="64" customFormat="1" ht="24.75" customHeight="1">
      <c r="A12" s="542" t="s">
        <v>27</v>
      </c>
      <c r="B12" s="543">
        <f t="shared" si="0"/>
        <v>971</v>
      </c>
      <c r="C12" s="287">
        <f t="shared" si="2"/>
        <v>802</v>
      </c>
      <c r="D12" s="749">
        <f t="shared" si="3"/>
        <v>401</v>
      </c>
      <c r="E12" s="287">
        <f t="shared" si="1"/>
        <v>169</v>
      </c>
      <c r="F12" s="754">
        <f t="shared" si="4"/>
        <v>84.5</v>
      </c>
      <c r="G12" s="804"/>
      <c r="H12" s="287"/>
      <c r="I12" s="606">
        <v>40</v>
      </c>
      <c r="J12" s="606">
        <v>1586</v>
      </c>
      <c r="K12" s="606">
        <v>205</v>
      </c>
      <c r="L12" s="805"/>
      <c r="M12" s="544">
        <f t="shared" si="5"/>
        <v>2802</v>
      </c>
      <c r="N12" s="487">
        <v>802</v>
      </c>
      <c r="O12" s="489">
        <v>2000</v>
      </c>
      <c r="P12" s="540">
        <f t="shared" si="6"/>
        <v>0</v>
      </c>
      <c r="Q12" s="469"/>
      <c r="R12" s="541"/>
    </row>
    <row r="13" spans="1:18" s="64" customFormat="1" ht="24.75" customHeight="1">
      <c r="A13" s="542" t="s">
        <v>28</v>
      </c>
      <c r="B13" s="543">
        <f t="shared" si="0"/>
        <v>0</v>
      </c>
      <c r="C13" s="287">
        <f t="shared" si="2"/>
        <v>0</v>
      </c>
      <c r="D13" s="749">
        <f t="shared" si="3"/>
        <v>0</v>
      </c>
      <c r="E13" s="287">
        <f t="shared" si="1"/>
        <v>0</v>
      </c>
      <c r="F13" s="754">
        <f t="shared" si="4"/>
        <v>0</v>
      </c>
      <c r="G13" s="804"/>
      <c r="H13" s="287"/>
      <c r="I13" s="606"/>
      <c r="J13" s="606"/>
      <c r="K13" s="606"/>
      <c r="L13" s="805"/>
      <c r="M13" s="544">
        <f t="shared" si="5"/>
        <v>0</v>
      </c>
      <c r="N13" s="487"/>
      <c r="O13" s="489"/>
      <c r="P13" s="540">
        <f t="shared" si="6"/>
        <v>0</v>
      </c>
      <c r="Q13" s="469"/>
      <c r="R13" s="541"/>
    </row>
    <row r="14" spans="1:18" s="64" customFormat="1" ht="24.75" customHeight="1">
      <c r="A14" s="542" t="s">
        <v>29</v>
      </c>
      <c r="B14" s="543">
        <f t="shared" si="0"/>
        <v>0</v>
      </c>
      <c r="C14" s="287">
        <f t="shared" si="2"/>
        <v>0</v>
      </c>
      <c r="D14" s="749">
        <f t="shared" si="3"/>
        <v>0</v>
      </c>
      <c r="E14" s="287">
        <f t="shared" si="1"/>
        <v>0</v>
      </c>
      <c r="F14" s="754">
        <f t="shared" si="4"/>
        <v>0</v>
      </c>
      <c r="G14" s="804"/>
      <c r="H14" s="287"/>
      <c r="I14" s="606"/>
      <c r="J14" s="606"/>
      <c r="K14" s="606"/>
      <c r="L14" s="805"/>
      <c r="M14" s="544">
        <f t="shared" si="5"/>
        <v>0</v>
      </c>
      <c r="N14" s="487"/>
      <c r="O14" s="489"/>
      <c r="P14" s="540">
        <f t="shared" si="6"/>
        <v>0</v>
      </c>
      <c r="Q14" s="469"/>
      <c r="R14" s="541"/>
    </row>
    <row r="15" spans="1:18" s="64" customFormat="1" ht="24.75" customHeight="1">
      <c r="A15" s="542" t="s">
        <v>30</v>
      </c>
      <c r="B15" s="543">
        <f t="shared" si="0"/>
        <v>2272</v>
      </c>
      <c r="C15" s="287">
        <f>N15-H15-G15</f>
        <v>2050</v>
      </c>
      <c r="D15" s="749">
        <f t="shared" si="3"/>
        <v>1025</v>
      </c>
      <c r="E15" s="287">
        <f t="shared" si="1"/>
        <v>222</v>
      </c>
      <c r="F15" s="754">
        <f t="shared" si="4"/>
        <v>111</v>
      </c>
      <c r="G15" s="804"/>
      <c r="H15" s="287">
        <f>602-301-301</f>
        <v>0</v>
      </c>
      <c r="I15" s="606">
        <v>59</v>
      </c>
      <c r="J15" s="606">
        <v>3629</v>
      </c>
      <c r="K15" s="606">
        <v>1090</v>
      </c>
      <c r="L15" s="805"/>
      <c r="M15" s="544">
        <f t="shared" si="5"/>
        <v>7050</v>
      </c>
      <c r="N15" s="487">
        <f>1800-50+300</f>
        <v>2050</v>
      </c>
      <c r="O15" s="489">
        <v>5000</v>
      </c>
      <c r="P15" s="540">
        <f t="shared" si="6"/>
        <v>300</v>
      </c>
      <c r="Q15" s="469">
        <v>300</v>
      </c>
      <c r="R15" s="541"/>
    </row>
    <row r="16" spans="1:18" s="64" customFormat="1" ht="24.75" customHeight="1">
      <c r="A16" s="542" t="s">
        <v>31</v>
      </c>
      <c r="B16" s="543">
        <f t="shared" si="0"/>
        <v>360</v>
      </c>
      <c r="C16" s="287">
        <f>N16-H16-G16</f>
        <v>360</v>
      </c>
      <c r="D16" s="749">
        <f t="shared" si="3"/>
        <v>180</v>
      </c>
      <c r="E16" s="287">
        <f t="shared" si="1"/>
        <v>0</v>
      </c>
      <c r="F16" s="754">
        <f t="shared" si="4"/>
        <v>0</v>
      </c>
      <c r="G16" s="804"/>
      <c r="H16" s="287"/>
      <c r="I16" s="606"/>
      <c r="J16" s="606"/>
      <c r="K16" s="606"/>
      <c r="L16" s="805"/>
      <c r="M16" s="544">
        <f t="shared" si="5"/>
        <v>360</v>
      </c>
      <c r="N16" s="618">
        <f>600+120-360</f>
        <v>360</v>
      </c>
      <c r="O16" s="489">
        <f>120-120</f>
        <v>0</v>
      </c>
      <c r="P16" s="540">
        <f t="shared" si="6"/>
        <v>0</v>
      </c>
      <c r="Q16" s="469"/>
      <c r="R16" s="541"/>
    </row>
    <row r="17" spans="1:18" s="64" customFormat="1" ht="24.75" customHeight="1">
      <c r="A17" s="542" t="s">
        <v>32</v>
      </c>
      <c r="B17" s="543">
        <f t="shared" si="0"/>
        <v>2183</v>
      </c>
      <c r="C17" s="287">
        <f>N17-H17-G17</f>
        <v>1853</v>
      </c>
      <c r="D17" s="749">
        <f t="shared" si="3"/>
        <v>926.5</v>
      </c>
      <c r="E17" s="287">
        <f t="shared" si="1"/>
        <v>330</v>
      </c>
      <c r="F17" s="754">
        <f t="shared" si="4"/>
        <v>165</v>
      </c>
      <c r="G17" s="804"/>
      <c r="H17" s="287">
        <f>894+602-301-598</f>
        <v>597</v>
      </c>
      <c r="I17" s="606">
        <v>59</v>
      </c>
      <c r="J17" s="606">
        <v>3821</v>
      </c>
      <c r="K17" s="606">
        <v>1090</v>
      </c>
      <c r="L17" s="805"/>
      <c r="M17" s="544">
        <f t="shared" si="5"/>
        <v>7750</v>
      </c>
      <c r="N17" s="487">
        <f>3000-550</f>
        <v>2450</v>
      </c>
      <c r="O17" s="489">
        <f>5500-200</f>
        <v>5300</v>
      </c>
      <c r="P17" s="540">
        <f t="shared" si="6"/>
        <v>2500</v>
      </c>
      <c r="Q17" s="469">
        <v>2500</v>
      </c>
      <c r="R17" s="541"/>
    </row>
    <row r="18" spans="1:18" s="64" customFormat="1" ht="24.75" customHeight="1">
      <c r="A18" s="542" t="s">
        <v>33</v>
      </c>
      <c r="B18" s="543">
        <f t="shared" si="0"/>
        <v>354</v>
      </c>
      <c r="C18" s="287">
        <f>N18-H18-G18</f>
        <v>354</v>
      </c>
      <c r="D18" s="749">
        <f t="shared" si="3"/>
        <v>177</v>
      </c>
      <c r="E18" s="287">
        <f t="shared" si="1"/>
        <v>0</v>
      </c>
      <c r="F18" s="754">
        <f t="shared" si="4"/>
        <v>0</v>
      </c>
      <c r="G18" s="804"/>
      <c r="H18" s="287">
        <f>695-230</f>
        <v>465</v>
      </c>
      <c r="I18" s="606">
        <v>33</v>
      </c>
      <c r="J18" s="606">
        <v>1180</v>
      </c>
      <c r="K18" s="606">
        <v>538</v>
      </c>
      <c r="L18" s="805"/>
      <c r="M18" s="544">
        <f t="shared" si="5"/>
        <v>2570</v>
      </c>
      <c r="N18" s="487">
        <f>800+49-30</f>
        <v>819</v>
      </c>
      <c r="O18" s="489">
        <f>1800-49</f>
        <v>1751</v>
      </c>
      <c r="P18" s="540">
        <f t="shared" si="6"/>
        <v>0</v>
      </c>
      <c r="Q18" s="469"/>
      <c r="R18" s="541"/>
    </row>
    <row r="19" spans="1:18" s="64" customFormat="1" ht="24.75" customHeight="1">
      <c r="A19" s="542" t="s">
        <v>161</v>
      </c>
      <c r="B19" s="543">
        <f t="shared" si="0"/>
        <v>225</v>
      </c>
      <c r="C19" s="287">
        <f t="shared" si="2"/>
        <v>0</v>
      </c>
      <c r="D19" s="749">
        <f t="shared" si="3"/>
        <v>0</v>
      </c>
      <c r="E19" s="287">
        <f t="shared" si="1"/>
        <v>225</v>
      </c>
      <c r="F19" s="754">
        <f t="shared" si="4"/>
        <v>112.5</v>
      </c>
      <c r="G19" s="804"/>
      <c r="H19" s="287"/>
      <c r="I19" s="606">
        <v>59</v>
      </c>
      <c r="J19" s="606">
        <v>1936</v>
      </c>
      <c r="K19" s="606">
        <v>830</v>
      </c>
      <c r="L19" s="805"/>
      <c r="M19" s="544">
        <f t="shared" si="5"/>
        <v>3050</v>
      </c>
      <c r="N19" s="487"/>
      <c r="O19" s="489">
        <f>2850+200</f>
        <v>3050</v>
      </c>
      <c r="P19" s="540">
        <f t="shared" si="6"/>
        <v>1133</v>
      </c>
      <c r="Q19" s="469">
        <f>2000-867</f>
        <v>1133</v>
      </c>
      <c r="R19" s="541"/>
    </row>
    <row r="20" spans="1:18" s="64" customFormat="1" ht="24.75" customHeight="1">
      <c r="A20" s="542" t="s">
        <v>34</v>
      </c>
      <c r="B20" s="543">
        <f t="shared" si="0"/>
        <v>50</v>
      </c>
      <c r="C20" s="287">
        <f>N20-H20-G20</f>
        <v>50</v>
      </c>
      <c r="D20" s="749">
        <f t="shared" si="3"/>
        <v>25</v>
      </c>
      <c r="E20" s="287">
        <f t="shared" si="1"/>
        <v>0</v>
      </c>
      <c r="F20" s="754">
        <f t="shared" si="4"/>
        <v>0</v>
      </c>
      <c r="G20" s="804"/>
      <c r="H20" s="287"/>
      <c r="I20" s="606"/>
      <c r="J20" s="606"/>
      <c r="K20" s="606"/>
      <c r="L20" s="805"/>
      <c r="M20" s="544">
        <f t="shared" si="5"/>
        <v>50</v>
      </c>
      <c r="N20" s="487">
        <f>800-700-50</f>
        <v>50</v>
      </c>
      <c r="O20" s="489"/>
      <c r="P20" s="540">
        <f t="shared" si="6"/>
        <v>0</v>
      </c>
      <c r="Q20" s="469"/>
      <c r="R20" s="541"/>
    </row>
    <row r="21" spans="1:18" s="64" customFormat="1" ht="24.75" customHeight="1">
      <c r="A21" s="542" t="s">
        <v>35</v>
      </c>
      <c r="B21" s="543">
        <f t="shared" si="0"/>
        <v>1703</v>
      </c>
      <c r="C21" s="287">
        <f t="shared" si="2"/>
        <v>1300</v>
      </c>
      <c r="D21" s="749">
        <f t="shared" si="3"/>
        <v>650</v>
      </c>
      <c r="E21" s="287">
        <f t="shared" si="1"/>
        <v>403</v>
      </c>
      <c r="F21" s="754">
        <f t="shared" si="4"/>
        <v>201.5</v>
      </c>
      <c r="G21" s="804"/>
      <c r="H21" s="287"/>
      <c r="I21" s="606">
        <v>55</v>
      </c>
      <c r="J21" s="606">
        <v>3452</v>
      </c>
      <c r="K21" s="606">
        <v>1090</v>
      </c>
      <c r="L21" s="805"/>
      <c r="M21" s="544">
        <f t="shared" si="5"/>
        <v>6300</v>
      </c>
      <c r="N21" s="487">
        <f>2000-700</f>
        <v>1300</v>
      </c>
      <c r="O21" s="489">
        <v>5000</v>
      </c>
      <c r="P21" s="540">
        <f t="shared" si="6"/>
        <v>0</v>
      </c>
      <c r="Q21" s="469"/>
      <c r="R21" s="541"/>
    </row>
    <row r="22" spans="1:18" s="64" customFormat="1" ht="24.75" customHeight="1">
      <c r="A22" s="542" t="s">
        <v>36</v>
      </c>
      <c r="B22" s="543">
        <f t="shared" si="0"/>
        <v>5406</v>
      </c>
      <c r="C22" s="287">
        <f>N22-H22-G22</f>
        <v>5144</v>
      </c>
      <c r="D22" s="749">
        <f t="shared" si="3"/>
        <v>2572</v>
      </c>
      <c r="E22" s="287">
        <f>O22-L22-K22-J22-I22</f>
        <v>262</v>
      </c>
      <c r="F22" s="754">
        <f t="shared" si="4"/>
        <v>131</v>
      </c>
      <c r="G22" s="804"/>
      <c r="H22" s="287">
        <f>854+258-129-426</f>
        <v>557</v>
      </c>
      <c r="I22" s="606">
        <v>26</v>
      </c>
      <c r="J22" s="606">
        <v>1160</v>
      </c>
      <c r="K22" s="606">
        <v>552</v>
      </c>
      <c r="L22" s="805"/>
      <c r="M22" s="544">
        <f t="shared" si="5"/>
        <v>7701</v>
      </c>
      <c r="N22" s="487">
        <f>7000-1299</f>
        <v>5701</v>
      </c>
      <c r="O22" s="489">
        <v>2000</v>
      </c>
      <c r="P22" s="540">
        <f t="shared" si="6"/>
        <v>0</v>
      </c>
      <c r="Q22" s="469"/>
      <c r="R22" s="541"/>
    </row>
    <row r="23" spans="1:18" s="64" customFormat="1" ht="24.75" customHeight="1">
      <c r="A23" s="542" t="s">
        <v>37</v>
      </c>
      <c r="B23" s="543">
        <f t="shared" si="0"/>
        <v>1210</v>
      </c>
      <c r="C23" s="287">
        <f t="shared" si="2"/>
        <v>1097</v>
      </c>
      <c r="D23" s="749">
        <f t="shared" si="3"/>
        <v>548.5</v>
      </c>
      <c r="E23" s="287">
        <f t="shared" si="1"/>
        <v>113</v>
      </c>
      <c r="F23" s="754">
        <f t="shared" si="4"/>
        <v>56.5</v>
      </c>
      <c r="G23" s="804"/>
      <c r="H23" s="287">
        <f>602-602</f>
        <v>0</v>
      </c>
      <c r="I23" s="606">
        <v>59</v>
      </c>
      <c r="J23" s="606">
        <v>2738</v>
      </c>
      <c r="K23" s="606">
        <v>1090</v>
      </c>
      <c r="L23" s="805"/>
      <c r="M23" s="544">
        <f t="shared" si="5"/>
        <v>5097</v>
      </c>
      <c r="N23" s="487">
        <f>1000+97</f>
        <v>1097</v>
      </c>
      <c r="O23" s="489">
        <v>4000</v>
      </c>
      <c r="P23" s="540">
        <f t="shared" si="6"/>
        <v>86</v>
      </c>
      <c r="Q23" s="469">
        <f>100-14</f>
        <v>86</v>
      </c>
      <c r="R23" s="541"/>
    </row>
    <row r="24" spans="1:18" s="64" customFormat="1" ht="24.75" customHeight="1">
      <c r="A24" s="542" t="s">
        <v>38</v>
      </c>
      <c r="B24" s="543">
        <f t="shared" si="0"/>
        <v>2791</v>
      </c>
      <c r="C24" s="287">
        <f>N24-H24-G24</f>
        <v>2653</v>
      </c>
      <c r="D24" s="749">
        <f t="shared" si="3"/>
        <v>1326.5</v>
      </c>
      <c r="E24" s="287">
        <f t="shared" si="1"/>
        <v>138</v>
      </c>
      <c r="F24" s="754">
        <f t="shared" si="4"/>
        <v>69</v>
      </c>
      <c r="G24" s="804"/>
      <c r="H24" s="287">
        <f>1219+602-301-673</f>
        <v>847</v>
      </c>
      <c r="I24" s="606">
        <v>59</v>
      </c>
      <c r="J24" s="606">
        <v>3713</v>
      </c>
      <c r="K24" s="606">
        <v>1090</v>
      </c>
      <c r="L24" s="805"/>
      <c r="M24" s="544">
        <f t="shared" si="5"/>
        <v>8500</v>
      </c>
      <c r="N24" s="487">
        <f>3000+500-200+200</f>
        <v>3500</v>
      </c>
      <c r="O24" s="489">
        <v>5000</v>
      </c>
      <c r="P24" s="540">
        <f t="shared" si="6"/>
        <v>236</v>
      </c>
      <c r="Q24" s="469">
        <f>250-14</f>
        <v>236</v>
      </c>
      <c r="R24" s="541"/>
    </row>
    <row r="25" spans="1:18" s="64" customFormat="1" ht="24.75" customHeight="1" thickBot="1">
      <c r="A25" s="545" t="s">
        <v>39</v>
      </c>
      <c r="B25" s="569">
        <f t="shared" si="0"/>
        <v>900</v>
      </c>
      <c r="C25" s="570">
        <f t="shared" si="2"/>
        <v>500</v>
      </c>
      <c r="D25" s="572">
        <f t="shared" si="3"/>
        <v>250</v>
      </c>
      <c r="E25" s="570">
        <f t="shared" si="1"/>
        <v>400</v>
      </c>
      <c r="F25" s="518">
        <f t="shared" si="4"/>
        <v>200</v>
      </c>
      <c r="G25" s="804"/>
      <c r="H25" s="287"/>
      <c r="I25" s="606"/>
      <c r="J25" s="606"/>
      <c r="K25" s="606"/>
      <c r="L25" s="805"/>
      <c r="M25" s="544">
        <f t="shared" si="5"/>
        <v>900</v>
      </c>
      <c r="N25" s="487">
        <f>900-400</f>
        <v>500</v>
      </c>
      <c r="O25" s="489">
        <f>1000-600</f>
        <v>400</v>
      </c>
      <c r="P25" s="540">
        <f t="shared" si="6"/>
        <v>0</v>
      </c>
      <c r="Q25" s="546"/>
      <c r="R25" s="547"/>
    </row>
    <row r="26" spans="1:18" s="64" customFormat="1" ht="19.5" customHeight="1" hidden="1">
      <c r="A26" s="548" t="s">
        <v>40</v>
      </c>
      <c r="B26" s="538"/>
      <c r="C26" s="285"/>
      <c r="D26" s="751"/>
      <c r="E26" s="285"/>
      <c r="F26" s="798"/>
      <c r="G26" s="804"/>
      <c r="H26" s="287"/>
      <c r="I26" s="606"/>
      <c r="J26" s="606"/>
      <c r="K26" s="606"/>
      <c r="L26" s="805"/>
      <c r="M26" s="544">
        <f t="shared" si="5"/>
        <v>0</v>
      </c>
      <c r="N26" s="487">
        <f>C26+G26+H26</f>
        <v>0</v>
      </c>
      <c r="O26" s="489">
        <f>E26+I26+J26+K26+L26</f>
        <v>0</v>
      </c>
      <c r="P26" s="540">
        <f t="shared" si="6"/>
        <v>0</v>
      </c>
      <c r="Q26" s="549"/>
      <c r="R26" s="550"/>
    </row>
    <row r="27" spans="1:18" s="64" customFormat="1" ht="32.25" hidden="1" thickBot="1">
      <c r="A27" s="548" t="s">
        <v>41</v>
      </c>
      <c r="B27" s="543"/>
      <c r="C27" s="285"/>
      <c r="D27" s="751"/>
      <c r="E27" s="287"/>
      <c r="F27" s="754"/>
      <c r="G27" s="804"/>
      <c r="H27" s="287"/>
      <c r="I27" s="606"/>
      <c r="J27" s="606"/>
      <c r="K27" s="606"/>
      <c r="L27" s="805"/>
      <c r="M27" s="544">
        <f t="shared" si="5"/>
        <v>0</v>
      </c>
      <c r="N27" s="487">
        <f>C27+G27+H27</f>
        <v>0</v>
      </c>
      <c r="O27" s="489">
        <f>E27+I27+J27+K27+L27</f>
        <v>0</v>
      </c>
      <c r="P27" s="540">
        <f t="shared" si="6"/>
        <v>0</v>
      </c>
      <c r="Q27" s="549"/>
      <c r="R27" s="550"/>
    </row>
    <row r="28" spans="1:18" s="64" customFormat="1" ht="32.25" hidden="1" thickBot="1">
      <c r="A28" s="551" t="s">
        <v>42</v>
      </c>
      <c r="B28" s="552"/>
      <c r="C28" s="739"/>
      <c r="D28" s="752"/>
      <c r="E28" s="290"/>
      <c r="F28" s="799"/>
      <c r="G28" s="806"/>
      <c r="H28" s="290"/>
      <c r="I28" s="607"/>
      <c r="J28" s="607"/>
      <c r="K28" s="607"/>
      <c r="L28" s="807"/>
      <c r="M28" s="553">
        <f t="shared" si="5"/>
        <v>0</v>
      </c>
      <c r="N28" s="491">
        <f>C28+G28+H28</f>
        <v>0</v>
      </c>
      <c r="O28" s="494">
        <f>E28+I28+J28+K28+L28</f>
        <v>0</v>
      </c>
      <c r="P28" s="554">
        <f t="shared" si="6"/>
        <v>0</v>
      </c>
      <c r="Q28" s="490"/>
      <c r="R28" s="555"/>
    </row>
    <row r="29" spans="1:21" s="64" customFormat="1" ht="33" customHeight="1" thickBot="1">
      <c r="A29" s="556" t="s">
        <v>263</v>
      </c>
      <c r="B29" s="281">
        <f>SUM(B9:B25)</f>
        <v>40883</v>
      </c>
      <c r="C29" s="557">
        <f>SUM(C9:C25)</f>
        <v>25178</v>
      </c>
      <c r="D29" s="283">
        <f>SUM(D9:D28)</f>
        <v>12589</v>
      </c>
      <c r="E29" s="557">
        <f>SUM(E9:E25)</f>
        <v>15705</v>
      </c>
      <c r="F29" s="755">
        <f>SUM(F9:F28)</f>
        <v>7852.5</v>
      </c>
      <c r="G29" s="281">
        <f aca="true" t="shared" si="7" ref="G29:L29">SUM(G9:G28)</f>
        <v>680</v>
      </c>
      <c r="H29" s="282">
        <f>SUM(H9:H28)</f>
        <v>5276</v>
      </c>
      <c r="I29" s="608">
        <f t="shared" si="7"/>
        <v>508</v>
      </c>
      <c r="J29" s="608">
        <f t="shared" si="7"/>
        <v>33721</v>
      </c>
      <c r="K29" s="608">
        <f t="shared" si="7"/>
        <v>8665</v>
      </c>
      <c r="L29" s="808">
        <f t="shared" si="7"/>
        <v>5100</v>
      </c>
      <c r="M29" s="467">
        <f>SUM(M9:M25)</f>
        <v>94833</v>
      </c>
      <c r="N29" s="558">
        <f>SUM(N9:N25)</f>
        <v>31134</v>
      </c>
      <c r="O29" s="559">
        <f>SUM(O9:O25)</f>
        <v>63699</v>
      </c>
      <c r="P29" s="482">
        <f t="shared" si="6"/>
        <v>23255</v>
      </c>
      <c r="Q29" s="560">
        <f>SUM(Q9:Q28)</f>
        <v>13255</v>
      </c>
      <c r="R29" s="561">
        <f>SUM(R9:R28)</f>
        <v>10000</v>
      </c>
      <c r="S29" s="562"/>
      <c r="T29" s="562"/>
      <c r="U29" s="562"/>
    </row>
    <row r="30" spans="1:21" s="64" customFormat="1" ht="30.75" customHeight="1">
      <c r="A30" s="563" t="s">
        <v>44</v>
      </c>
      <c r="B30" s="538"/>
      <c r="C30" s="757"/>
      <c r="D30" s="286"/>
      <c r="E30" s="756"/>
      <c r="F30" s="742"/>
      <c r="G30" s="341"/>
      <c r="H30" s="567"/>
      <c r="I30" s="609"/>
      <c r="J30" s="609"/>
      <c r="K30" s="609"/>
      <c r="L30" s="610"/>
      <c r="M30" s="539">
        <f>'приложение 2'!H10</f>
        <v>3057</v>
      </c>
      <c r="N30" s="613"/>
      <c r="O30" s="614"/>
      <c r="P30" s="540">
        <f>'приложение 2'!H14</f>
        <v>72</v>
      </c>
      <c r="Q30" s="483"/>
      <c r="R30" s="486"/>
      <c r="S30" s="562"/>
      <c r="T30" s="562"/>
      <c r="U30" s="562"/>
    </row>
    <row r="31" spans="1:21" s="64" customFormat="1" ht="30" customHeight="1" thickBot="1">
      <c r="A31" s="568" t="s">
        <v>45</v>
      </c>
      <c r="B31" s="569"/>
      <c r="C31" s="570"/>
      <c r="D31" s="737"/>
      <c r="E31" s="737"/>
      <c r="F31" s="743"/>
      <c r="G31" s="571"/>
      <c r="H31" s="572"/>
      <c r="I31" s="611"/>
      <c r="J31" s="611"/>
      <c r="K31" s="611"/>
      <c r="L31" s="612"/>
      <c r="M31" s="573">
        <f>M29+M30</f>
        <v>97890</v>
      </c>
      <c r="N31" s="574"/>
      <c r="O31" s="575"/>
      <c r="P31" s="576">
        <v>24194</v>
      </c>
      <c r="Q31" s="574"/>
      <c r="R31" s="575"/>
      <c r="S31" s="562"/>
      <c r="T31" s="562"/>
      <c r="U31" s="562"/>
    </row>
    <row r="32" spans="2:21" ht="15">
      <c r="B32" s="272"/>
      <c r="C32" s="272"/>
      <c r="D32" s="272"/>
      <c r="E32" s="272"/>
      <c r="F32" s="744"/>
      <c r="G32" s="272"/>
      <c r="H32" s="272"/>
      <c r="I32" s="615"/>
      <c r="J32" s="615"/>
      <c r="K32" s="615"/>
      <c r="L32" s="615"/>
      <c r="M32" s="272"/>
      <c r="N32" s="272"/>
      <c r="O32" s="272"/>
      <c r="P32" s="272"/>
      <c r="Q32" s="272"/>
      <c r="R32" s="272"/>
      <c r="S32" s="29"/>
      <c r="T32" s="29"/>
      <c r="U32" s="29"/>
    </row>
    <row r="33" spans="1:21" ht="15.75" hidden="1" thickBot="1">
      <c r="A33" s="758"/>
      <c r="B33" s="759" t="s">
        <v>306</v>
      </c>
      <c r="C33" s="759">
        <f>C21*2*172.84</f>
        <v>449384</v>
      </c>
      <c r="D33" s="759"/>
      <c r="E33" s="759"/>
      <c r="F33" s="760">
        <f>E21*2*215.65</f>
        <v>173813.9</v>
      </c>
      <c r="G33" s="759"/>
      <c r="H33" s="759"/>
      <c r="I33" s="761">
        <f>I21*1.57</f>
        <v>86.35000000000001</v>
      </c>
      <c r="J33" s="762"/>
      <c r="K33" s="616"/>
      <c r="L33" s="616"/>
      <c r="M33" s="274"/>
      <c r="N33" s="274"/>
      <c r="O33" s="274"/>
      <c r="P33" s="274"/>
      <c r="Q33" s="274"/>
      <c r="R33" s="274"/>
      <c r="S33" s="29"/>
      <c r="T33" s="29"/>
      <c r="U33" s="29"/>
    </row>
    <row r="34" spans="9:21" ht="15" hidden="1">
      <c r="I34" s="617"/>
      <c r="J34" s="617"/>
      <c r="K34" s="617"/>
      <c r="L34" s="617"/>
      <c r="M34" s="230">
        <f>N34+O34</f>
        <v>1302942</v>
      </c>
      <c r="N34" s="230">
        <f>N21*172.84</f>
        <v>224692</v>
      </c>
      <c r="O34" s="230">
        <f>O21*215.65</f>
        <v>1078250</v>
      </c>
      <c r="S34" s="29"/>
      <c r="T34" s="29"/>
      <c r="U34" s="29"/>
    </row>
    <row r="35" spans="1:20" ht="15" hidden="1">
      <c r="A35" s="228" t="s">
        <v>307</v>
      </c>
      <c r="B35" s="796">
        <v>3639</v>
      </c>
      <c r="C35" s="796">
        <f>B35*59%</f>
        <v>2147.0099999999998</v>
      </c>
      <c r="D35" s="763">
        <f>11420-C35</f>
        <v>9272.99</v>
      </c>
      <c r="E35" s="796">
        <f>B35*E30</f>
        <v>0</v>
      </c>
      <c r="F35" s="740">
        <f>7853-E35</f>
        <v>7853</v>
      </c>
      <c r="I35" s="617"/>
      <c r="J35" s="617"/>
      <c r="K35" s="617"/>
      <c r="L35" s="617"/>
      <c r="T35" s="29"/>
    </row>
    <row r="36" spans="9:20" ht="15">
      <c r="I36" s="617"/>
      <c r="J36" s="617"/>
      <c r="K36" s="617"/>
      <c r="L36" s="617"/>
      <c r="T36" s="29"/>
    </row>
    <row r="37" spans="9:20" ht="15">
      <c r="I37" s="617"/>
      <c r="J37" s="617"/>
      <c r="K37" s="617"/>
      <c r="L37" s="617"/>
      <c r="T37" s="29"/>
    </row>
    <row r="38" spans="9:20" ht="15">
      <c r="I38" s="617"/>
      <c r="J38" s="617"/>
      <c r="K38" s="617"/>
      <c r="L38" s="617"/>
      <c r="T38" s="29"/>
    </row>
    <row r="39" spans="9:20" ht="15">
      <c r="I39" s="617"/>
      <c r="J39" s="617"/>
      <c r="K39" s="617"/>
      <c r="L39" s="617"/>
      <c r="T39" s="29"/>
    </row>
    <row r="40" spans="9:20" ht="15">
      <c r="I40" s="617"/>
      <c r="J40" s="617"/>
      <c r="K40" s="617"/>
      <c r="L40" s="617"/>
      <c r="T40" s="29"/>
    </row>
    <row r="41" spans="9:20" ht="15">
      <c r="I41" s="617"/>
      <c r="J41" s="617"/>
      <c r="K41" s="617"/>
      <c r="L41" s="617"/>
      <c r="T41" s="29"/>
    </row>
    <row r="42" spans="9:20" ht="15">
      <c r="I42" s="617"/>
      <c r="J42" s="617"/>
      <c r="K42" s="617"/>
      <c r="L42" s="617"/>
      <c r="T42" s="29"/>
    </row>
    <row r="43" spans="9:20" ht="15">
      <c r="I43" s="617"/>
      <c r="J43" s="617"/>
      <c r="K43" s="617"/>
      <c r="L43" s="617"/>
      <c r="T43" s="29"/>
    </row>
    <row r="44" ht="15" customHeight="1" hidden="1"/>
    <row r="45" ht="15.75" customHeight="1" hidden="1" thickBot="1"/>
    <row r="46" ht="15" customHeight="1" hidden="1"/>
    <row r="47" ht="65.25" customHeight="1" hidden="1"/>
    <row r="48" ht="15" customHeight="1" hidden="1" thickBot="1"/>
    <row r="49" ht="15.75" customHeight="1" hidden="1" thickBot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>
      <c r="T56" s="29"/>
    </row>
    <row r="57" ht="15" customHeight="1" hidden="1">
      <c r="T57" s="29"/>
    </row>
    <row r="58" ht="15" customHeight="1" hidden="1">
      <c r="T58" s="29"/>
    </row>
    <row r="59" ht="15" customHeight="1" hidden="1">
      <c r="T59" s="29"/>
    </row>
    <row r="60" ht="15" customHeight="1" hidden="1">
      <c r="T60" s="29"/>
    </row>
    <row r="61" ht="15" customHeight="1" hidden="1">
      <c r="T61" s="29"/>
    </row>
    <row r="62" ht="15" customHeight="1" hidden="1">
      <c r="T62" s="29"/>
    </row>
    <row r="63" ht="15" customHeight="1" hidden="1">
      <c r="T63" s="29"/>
    </row>
    <row r="64" ht="15" customHeight="1" hidden="1">
      <c r="T64" s="29"/>
    </row>
    <row r="65" ht="15" customHeight="1" hidden="1">
      <c r="T65" s="29"/>
    </row>
    <row r="66" ht="15" customHeight="1" hidden="1">
      <c r="T66" s="29"/>
    </row>
    <row r="67" ht="15" customHeight="1" hidden="1">
      <c r="T67" s="29"/>
    </row>
    <row r="68" ht="15" customHeight="1" hidden="1">
      <c r="T68" s="29"/>
    </row>
    <row r="69" ht="15" customHeight="1" hidden="1">
      <c r="T69" s="29"/>
    </row>
    <row r="70" ht="15" customHeight="1" hidden="1">
      <c r="T70" s="29"/>
    </row>
    <row r="71" ht="15.75" customHeight="1" hidden="1" thickBot="1">
      <c r="T71" s="29"/>
    </row>
    <row r="72" ht="15.75" customHeight="1" hidden="1" thickBot="1">
      <c r="T72" s="29"/>
    </row>
    <row r="73" ht="15" customHeight="1" hidden="1"/>
    <row r="74" ht="15" customHeight="1" hidden="1"/>
    <row r="75" ht="15" customHeight="1" hidden="1"/>
    <row r="76" ht="15.75" customHeight="1" hidden="1" thickBot="1"/>
    <row r="77" ht="15" customHeight="1" hidden="1"/>
    <row r="78" ht="65.25" customHeight="1" hidden="1"/>
    <row r="79" ht="15" customHeight="1" hidden="1" thickBot="1"/>
    <row r="80" ht="15.75" customHeight="1" hidden="1" thickBot="1"/>
    <row r="81" ht="15.75" customHeight="1" hidden="1" thickBot="1"/>
    <row r="82" ht="15.75" customHeight="1" hidden="1" thickBot="1"/>
    <row r="83" ht="15" customHeight="1" hidden="1"/>
    <row r="84" ht="15" customHeight="1" hidden="1"/>
    <row r="85" ht="15" customHeight="1" hidden="1"/>
    <row r="86" ht="15.75" customHeight="1" hidden="1" thickBot="1"/>
    <row r="87" ht="15" customHeight="1" hidden="1"/>
    <row r="88" ht="65.25" customHeight="1" hidden="1"/>
    <row r="89" ht="15" customHeight="1" hidden="1" thickBot="1"/>
    <row r="90" ht="15.75" customHeight="1" hidden="1" thickBot="1"/>
    <row r="91" ht="15.75" customHeight="1" hidden="1" thickBot="1"/>
    <row r="92" ht="15.75" customHeight="1" hidden="1" thickBot="1"/>
    <row r="93" ht="15" customHeight="1" hidden="1"/>
    <row r="94" ht="15" customHeight="1" hidden="1"/>
    <row r="95" ht="15" customHeight="1" hidden="1"/>
    <row r="96" ht="15.75" customHeight="1" hidden="1" thickBot="1"/>
    <row r="97" ht="15" customHeight="1" hidden="1"/>
    <row r="98" ht="65.25" customHeight="1" hidden="1"/>
    <row r="99" ht="15" customHeight="1" hidden="1" thickBot="1"/>
    <row r="100" ht="15.75" customHeight="1" hidden="1" thickBot="1"/>
    <row r="101" ht="15.75" customHeight="1" hidden="1" thickBot="1"/>
    <row r="102" ht="15.75" customHeight="1" hidden="1" thickBot="1"/>
    <row r="103" ht="15" customHeight="1" hidden="1"/>
    <row r="104" ht="15" customHeight="1" hidden="1"/>
    <row r="105" ht="15.75" customHeight="1" hidden="1" thickBot="1"/>
    <row r="106" ht="15" customHeight="1" hidden="1"/>
    <row r="107" ht="65.25" customHeight="1" hidden="1"/>
    <row r="108" ht="15" customHeight="1" hidden="1" thickBot="1"/>
    <row r="109" ht="15.75" customHeight="1" hidden="1" thickBot="1"/>
    <row r="110" ht="15" customHeight="1" hidden="1"/>
    <row r="111" ht="15" customHeight="1" hidden="1"/>
    <row r="112" ht="15" customHeight="1" hidden="1"/>
    <row r="113" ht="15" customHeight="1" hidden="1"/>
    <row r="114" ht="15.75" customHeight="1" hidden="1" thickBot="1"/>
    <row r="115" ht="15.75" customHeight="1" hidden="1" thickBot="1"/>
    <row r="116" ht="15" customHeight="1" hidden="1"/>
    <row r="117" ht="15" customHeight="1" hidden="1"/>
    <row r="118" ht="15.75" customHeight="1" hidden="1" thickBot="1"/>
    <row r="119" ht="15" customHeight="1" hidden="1"/>
    <row r="120" ht="65.25" customHeight="1" hidden="1"/>
    <row r="121" ht="15" customHeight="1" hidden="1" thickBot="1"/>
    <row r="122" ht="15.75" customHeight="1" hidden="1" thickBot="1"/>
    <row r="123" ht="15.75" customHeight="1" hidden="1" thickBot="1"/>
    <row r="124" ht="15.75" customHeight="1" hidden="1" thickBot="1"/>
    <row r="125" ht="15" customHeight="1" hidden="1"/>
    <row r="126" ht="15" customHeight="1" hidden="1"/>
    <row r="127" ht="15.75" customHeight="1" hidden="1" thickBot="1"/>
    <row r="128" ht="15" customHeight="1" hidden="1"/>
    <row r="129" ht="65.25" customHeight="1" hidden="1"/>
    <row r="130" ht="15" customHeight="1" hidden="1" thickBot="1"/>
    <row r="131" ht="15.75" customHeight="1" hidden="1" thickBot="1"/>
    <row r="132" ht="15" customHeight="1" hidden="1"/>
    <row r="133" ht="15.75" customHeight="1" hidden="1" thickBot="1"/>
    <row r="134" ht="15.75" customHeight="1" hidden="1" thickBot="1"/>
    <row r="135" ht="15" customHeight="1" hidden="1"/>
  </sheetData>
  <sheetProtection/>
  <mergeCells count="20">
    <mergeCell ref="N6:O6"/>
    <mergeCell ref="J6:J7"/>
    <mergeCell ref="G5:L5"/>
    <mergeCell ref="M6:M7"/>
    <mergeCell ref="G6:G7"/>
    <mergeCell ref="A3:R3"/>
    <mergeCell ref="P6:P7"/>
    <mergeCell ref="B6:B7"/>
    <mergeCell ref="A4:A7"/>
    <mergeCell ref="L6:L7"/>
    <mergeCell ref="M5:O5"/>
    <mergeCell ref="C6:F6"/>
    <mergeCell ref="M1:R1"/>
    <mergeCell ref="B4:R4"/>
    <mergeCell ref="Q6:R6"/>
    <mergeCell ref="K6:K7"/>
    <mergeCell ref="H6:H7"/>
    <mergeCell ref="P5:R5"/>
    <mergeCell ref="I6:I7"/>
    <mergeCell ref="B5:F5"/>
  </mergeCells>
  <printOptions/>
  <pageMargins left="0.1968503937007874" right="0.15748031496062992" top="0.3937007874015748" bottom="0.15748031496062992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U157"/>
  <sheetViews>
    <sheetView view="pageBreakPreview" zoomScaleSheetLayoutView="100" zoomScalePageLayoutView="0" workbookViewId="0" topLeftCell="A1">
      <selection activeCell="O5" sqref="O5:Q5"/>
    </sheetView>
  </sheetViews>
  <sheetFormatPr defaultColWidth="9.140625" defaultRowHeight="15"/>
  <cols>
    <col min="1" max="1" width="5.57421875" style="20" customWidth="1"/>
    <col min="2" max="2" width="60.140625" style="275" customWidth="1"/>
    <col min="3" max="3" width="8.7109375" style="275" hidden="1" customWidth="1"/>
    <col min="4" max="4" width="8.28125" style="275" hidden="1" customWidth="1"/>
    <col min="5" max="5" width="7.28125" style="275" hidden="1" customWidth="1"/>
    <col min="6" max="6" width="8.57421875" style="275" hidden="1" customWidth="1"/>
    <col min="7" max="7" width="7.8515625" style="275" hidden="1" customWidth="1"/>
    <col min="8" max="8" width="8.00390625" style="275" hidden="1" customWidth="1"/>
    <col min="9" max="9" width="0" style="276" hidden="1" customWidth="1"/>
    <col min="10" max="10" width="8.421875" style="276" hidden="1" customWidth="1"/>
    <col min="11" max="11" width="8.140625" style="276" hidden="1" customWidth="1"/>
    <col min="12" max="12" width="7.57421875" style="276" hidden="1" customWidth="1"/>
    <col min="13" max="13" width="7.7109375" style="276" hidden="1" customWidth="1"/>
    <col min="14" max="14" width="7.8515625" style="276" hidden="1" customWidth="1"/>
    <col min="15" max="15" width="26.7109375" style="276" customWidth="1"/>
    <col min="16" max="16" width="25.57421875" style="276" customWidth="1"/>
    <col min="17" max="17" width="26.28125" style="276" customWidth="1"/>
    <col min="18" max="18" width="6.421875" style="20" customWidth="1"/>
    <col min="19" max="19" width="16.28125" style="20" customWidth="1"/>
    <col min="20" max="20" width="15.8515625" style="20" customWidth="1"/>
    <col min="21" max="16384" width="9.140625" style="20" customWidth="1"/>
  </cols>
  <sheetData>
    <row r="1" spans="16:21" ht="60.75" customHeight="1">
      <c r="P1" s="910" t="s">
        <v>325</v>
      </c>
      <c r="Q1" s="910"/>
      <c r="R1" s="910"/>
      <c r="S1" s="271"/>
      <c r="T1" s="271"/>
      <c r="U1" s="271"/>
    </row>
    <row r="2" ht="18.75" customHeight="1"/>
    <row r="3" spans="2:18" ht="41.25" customHeight="1">
      <c r="B3" s="903" t="s">
        <v>266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</row>
    <row r="4" spans="2:17" ht="10.5" customHeight="1" thickBo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937"/>
      <c r="P4" s="937"/>
      <c r="Q4" s="937"/>
    </row>
    <row r="5" spans="2:17" ht="57.75" customHeight="1" thickBot="1">
      <c r="B5" s="968"/>
      <c r="C5" s="938" t="s">
        <v>48</v>
      </c>
      <c r="D5" s="939"/>
      <c r="E5" s="940"/>
      <c r="F5" s="950" t="s">
        <v>49</v>
      </c>
      <c r="G5" s="939"/>
      <c r="H5" s="940"/>
      <c r="I5" s="951" t="s">
        <v>50</v>
      </c>
      <c r="J5" s="952"/>
      <c r="K5" s="953"/>
      <c r="L5" s="954" t="s">
        <v>51</v>
      </c>
      <c r="M5" s="955"/>
      <c r="N5" s="956"/>
      <c r="O5" s="957" t="s">
        <v>317</v>
      </c>
      <c r="P5" s="958"/>
      <c r="Q5" s="959"/>
    </row>
    <row r="6" spans="2:17" ht="15" customHeight="1">
      <c r="B6" s="969"/>
      <c r="C6" s="941" t="s">
        <v>17</v>
      </c>
      <c r="D6" s="943" t="s">
        <v>52</v>
      </c>
      <c r="E6" s="944"/>
      <c r="F6" s="945" t="s">
        <v>17</v>
      </c>
      <c r="G6" s="943" t="s">
        <v>52</v>
      </c>
      <c r="H6" s="944"/>
      <c r="I6" s="947" t="s">
        <v>17</v>
      </c>
      <c r="J6" s="948" t="s">
        <v>53</v>
      </c>
      <c r="K6" s="949"/>
      <c r="L6" s="947" t="s">
        <v>17</v>
      </c>
      <c r="M6" s="948" t="s">
        <v>53</v>
      </c>
      <c r="N6" s="949"/>
      <c r="O6" s="960" t="s">
        <v>17</v>
      </c>
      <c r="P6" s="966" t="s">
        <v>53</v>
      </c>
      <c r="Q6" s="967"/>
    </row>
    <row r="7" spans="2:17" ht="16.5" thickBot="1">
      <c r="B7" s="970"/>
      <c r="C7" s="942"/>
      <c r="D7" s="809" t="s">
        <v>19</v>
      </c>
      <c r="E7" s="810" t="s">
        <v>20</v>
      </c>
      <c r="F7" s="946"/>
      <c r="G7" s="809" t="s">
        <v>19</v>
      </c>
      <c r="H7" s="810" t="s">
        <v>20</v>
      </c>
      <c r="I7" s="931"/>
      <c r="J7" s="528" t="s">
        <v>19</v>
      </c>
      <c r="K7" s="811" t="s">
        <v>20</v>
      </c>
      <c r="L7" s="931"/>
      <c r="M7" s="528" t="s">
        <v>19</v>
      </c>
      <c r="N7" s="811" t="s">
        <v>20</v>
      </c>
      <c r="O7" s="961"/>
      <c r="P7" s="529" t="s">
        <v>19</v>
      </c>
      <c r="Q7" s="530" t="s">
        <v>20</v>
      </c>
    </row>
    <row r="8" spans="2:17" ht="21" customHeight="1" thickBot="1">
      <c r="B8" s="812" t="s">
        <v>23</v>
      </c>
      <c r="C8" s="813">
        <v>4</v>
      </c>
      <c r="D8" s="814">
        <v>5</v>
      </c>
      <c r="E8" s="815">
        <v>6</v>
      </c>
      <c r="F8" s="816">
        <v>7</v>
      </c>
      <c r="G8" s="814">
        <v>8</v>
      </c>
      <c r="H8" s="815">
        <v>9</v>
      </c>
      <c r="I8" s="817">
        <v>10</v>
      </c>
      <c r="J8" s="557">
        <v>11</v>
      </c>
      <c r="K8" s="818">
        <v>12</v>
      </c>
      <c r="L8" s="817"/>
      <c r="M8" s="557"/>
      <c r="N8" s="818"/>
      <c r="O8" s="819">
        <v>1</v>
      </c>
      <c r="P8" s="820">
        <v>2</v>
      </c>
      <c r="Q8" s="836">
        <v>3</v>
      </c>
    </row>
    <row r="9" spans="2:17" ht="19.5" customHeight="1">
      <c r="B9" s="470" t="s">
        <v>54</v>
      </c>
      <c r="C9" s="821">
        <f aca="true" t="shared" si="0" ref="C9:C24">SUM(D9:E9)</f>
        <v>680</v>
      </c>
      <c r="D9" s="236">
        <v>500</v>
      </c>
      <c r="E9" s="237">
        <v>180</v>
      </c>
      <c r="F9" s="822">
        <f aca="true" t="shared" si="1" ref="F9:F24">SUM(G9:H9)</f>
        <v>343</v>
      </c>
      <c r="G9" s="236">
        <v>342</v>
      </c>
      <c r="H9" s="237">
        <v>1</v>
      </c>
      <c r="I9" s="471">
        <f>J9+K9</f>
        <v>457.3333333333333</v>
      </c>
      <c r="J9" s="238">
        <f>G9/9*12</f>
        <v>456</v>
      </c>
      <c r="K9" s="241">
        <f>H9/9*12</f>
        <v>1.3333333333333333</v>
      </c>
      <c r="L9" s="472"/>
      <c r="M9" s="473"/>
      <c r="N9" s="474"/>
      <c r="O9" s="475">
        <f aca="true" t="shared" si="2" ref="O9:O25">P9+Q9</f>
        <v>500</v>
      </c>
      <c r="P9" s="765">
        <v>400</v>
      </c>
      <c r="Q9" s="837">
        <v>100</v>
      </c>
    </row>
    <row r="10" spans="2:17" ht="19.5" customHeight="1">
      <c r="B10" s="476" t="s">
        <v>25</v>
      </c>
      <c r="C10" s="823">
        <f t="shared" si="0"/>
        <v>25000</v>
      </c>
      <c r="D10" s="243"/>
      <c r="E10" s="244">
        <v>25000</v>
      </c>
      <c r="F10" s="824">
        <f t="shared" si="1"/>
        <v>15446</v>
      </c>
      <c r="G10" s="243"/>
      <c r="H10" s="244">
        <v>15446</v>
      </c>
      <c r="I10" s="477">
        <f>J10+K10</f>
        <v>20594.666666666664</v>
      </c>
      <c r="J10" s="238">
        <f aca="true" t="shared" si="3" ref="J10:K24">G10/9*12</f>
        <v>0</v>
      </c>
      <c r="K10" s="241">
        <f t="shared" si="3"/>
        <v>20594.666666666664</v>
      </c>
      <c r="L10" s="249"/>
      <c r="M10" s="246"/>
      <c r="N10" s="247"/>
      <c r="O10" s="475">
        <f t="shared" si="2"/>
        <v>26000</v>
      </c>
      <c r="P10" s="764"/>
      <c r="Q10" s="837">
        <v>26000</v>
      </c>
    </row>
    <row r="11" spans="2:17" ht="19.5" customHeight="1">
      <c r="B11" s="476" t="s">
        <v>26</v>
      </c>
      <c r="C11" s="823">
        <f t="shared" si="0"/>
        <v>15050</v>
      </c>
      <c r="D11" s="243">
        <v>15050</v>
      </c>
      <c r="E11" s="244"/>
      <c r="F11" s="824">
        <f t="shared" si="1"/>
        <v>6904</v>
      </c>
      <c r="G11" s="243">
        <v>6904</v>
      </c>
      <c r="H11" s="244"/>
      <c r="I11" s="477">
        <f>J11+K11</f>
        <v>9205.333333333332</v>
      </c>
      <c r="J11" s="238">
        <f t="shared" si="3"/>
        <v>9205.333333333332</v>
      </c>
      <c r="K11" s="241">
        <f t="shared" si="3"/>
        <v>0</v>
      </c>
      <c r="L11" s="249"/>
      <c r="M11" s="246"/>
      <c r="N11" s="247"/>
      <c r="O11" s="475">
        <f t="shared" si="2"/>
        <v>13000</v>
      </c>
      <c r="P11" s="764">
        <v>13000</v>
      </c>
      <c r="Q11" s="837"/>
    </row>
    <row r="12" spans="2:17" ht="19.5" customHeight="1">
      <c r="B12" s="476" t="s">
        <v>27</v>
      </c>
      <c r="C12" s="823">
        <f t="shared" si="0"/>
        <v>1300</v>
      </c>
      <c r="D12" s="243">
        <v>1200</v>
      </c>
      <c r="E12" s="244">
        <v>100</v>
      </c>
      <c r="F12" s="824">
        <f t="shared" si="1"/>
        <v>483</v>
      </c>
      <c r="G12" s="243">
        <v>483</v>
      </c>
      <c r="H12" s="244">
        <v>0</v>
      </c>
      <c r="I12" s="477">
        <f>J12+K12</f>
        <v>644</v>
      </c>
      <c r="J12" s="238">
        <f t="shared" si="3"/>
        <v>644</v>
      </c>
      <c r="K12" s="241">
        <f t="shared" si="3"/>
        <v>0</v>
      </c>
      <c r="L12" s="249"/>
      <c r="M12" s="246"/>
      <c r="N12" s="247"/>
      <c r="O12" s="475">
        <f t="shared" si="2"/>
        <v>1500</v>
      </c>
      <c r="P12" s="764">
        <v>1000</v>
      </c>
      <c r="Q12" s="837">
        <v>500</v>
      </c>
    </row>
    <row r="13" spans="2:17" ht="19.5" customHeight="1">
      <c r="B13" s="476" t="s">
        <v>28</v>
      </c>
      <c r="C13" s="823">
        <f t="shared" si="0"/>
        <v>35</v>
      </c>
      <c r="D13" s="243"/>
      <c r="E13" s="244">
        <v>35</v>
      </c>
      <c r="F13" s="824">
        <f t="shared" si="1"/>
        <v>0</v>
      </c>
      <c r="G13" s="243"/>
      <c r="H13" s="244"/>
      <c r="I13" s="477"/>
      <c r="J13" s="238">
        <f t="shared" si="3"/>
        <v>0</v>
      </c>
      <c r="K13" s="241">
        <f t="shared" si="3"/>
        <v>0</v>
      </c>
      <c r="L13" s="249"/>
      <c r="M13" s="246"/>
      <c r="N13" s="247"/>
      <c r="O13" s="475">
        <f t="shared" si="2"/>
        <v>0</v>
      </c>
      <c r="P13" s="764"/>
      <c r="Q13" s="837"/>
    </row>
    <row r="14" spans="2:17" ht="19.5" customHeight="1">
      <c r="B14" s="476" t="s">
        <v>30</v>
      </c>
      <c r="C14" s="823">
        <f t="shared" si="0"/>
        <v>3650</v>
      </c>
      <c r="D14" s="243">
        <v>3500</v>
      </c>
      <c r="E14" s="244">
        <v>150</v>
      </c>
      <c r="F14" s="824">
        <f t="shared" si="1"/>
        <v>1672</v>
      </c>
      <c r="G14" s="243">
        <v>1563</v>
      </c>
      <c r="H14" s="244">
        <v>109</v>
      </c>
      <c r="I14" s="477">
        <f aca="true" t="shared" si="4" ref="I14:I24">J14+K14</f>
        <v>2229.3333333333335</v>
      </c>
      <c r="J14" s="238">
        <f t="shared" si="3"/>
        <v>2084</v>
      </c>
      <c r="K14" s="241">
        <f t="shared" si="3"/>
        <v>145.33333333333331</v>
      </c>
      <c r="L14" s="249"/>
      <c r="M14" s="246"/>
      <c r="N14" s="247"/>
      <c r="O14" s="475">
        <f t="shared" si="2"/>
        <v>4500</v>
      </c>
      <c r="P14" s="764">
        <v>3000</v>
      </c>
      <c r="Q14" s="837">
        <v>1500</v>
      </c>
    </row>
    <row r="15" spans="2:17" ht="19.5" customHeight="1">
      <c r="B15" s="476" t="s">
        <v>31</v>
      </c>
      <c r="C15" s="823">
        <f t="shared" si="0"/>
        <v>1280</v>
      </c>
      <c r="D15" s="243">
        <v>1130</v>
      </c>
      <c r="E15" s="244">
        <v>150</v>
      </c>
      <c r="F15" s="824">
        <f t="shared" si="1"/>
        <v>473</v>
      </c>
      <c r="G15" s="243">
        <v>473</v>
      </c>
      <c r="H15" s="244">
        <v>0</v>
      </c>
      <c r="I15" s="477">
        <f t="shared" si="4"/>
        <v>630.6666666666667</v>
      </c>
      <c r="J15" s="238">
        <f t="shared" si="3"/>
        <v>630.6666666666667</v>
      </c>
      <c r="K15" s="241">
        <f t="shared" si="3"/>
        <v>0</v>
      </c>
      <c r="L15" s="249"/>
      <c r="M15" s="246"/>
      <c r="N15" s="247"/>
      <c r="O15" s="475">
        <f t="shared" si="2"/>
        <v>800</v>
      </c>
      <c r="P15" s="764">
        <v>600</v>
      </c>
      <c r="Q15" s="837">
        <v>200</v>
      </c>
    </row>
    <row r="16" spans="2:17" ht="19.5" customHeight="1">
      <c r="B16" s="476" t="s">
        <v>32</v>
      </c>
      <c r="C16" s="823">
        <f t="shared" si="0"/>
        <v>5253</v>
      </c>
      <c r="D16" s="243">
        <v>4803</v>
      </c>
      <c r="E16" s="244">
        <v>450</v>
      </c>
      <c r="F16" s="824">
        <f t="shared" si="1"/>
        <v>2143</v>
      </c>
      <c r="G16" s="243">
        <v>1783</v>
      </c>
      <c r="H16" s="244">
        <v>360</v>
      </c>
      <c r="I16" s="477">
        <f t="shared" si="4"/>
        <v>2857.3333333333335</v>
      </c>
      <c r="J16" s="238">
        <f t="shared" si="3"/>
        <v>2377.3333333333335</v>
      </c>
      <c r="K16" s="241">
        <f t="shared" si="3"/>
        <v>480</v>
      </c>
      <c r="L16" s="249"/>
      <c r="M16" s="246"/>
      <c r="N16" s="247"/>
      <c r="O16" s="475">
        <f t="shared" si="2"/>
        <v>4500</v>
      </c>
      <c r="P16" s="764">
        <v>3500</v>
      </c>
      <c r="Q16" s="837">
        <v>1000</v>
      </c>
    </row>
    <row r="17" spans="2:17" ht="19.5" customHeight="1">
      <c r="B17" s="476" t="s">
        <v>161</v>
      </c>
      <c r="C17" s="823"/>
      <c r="D17" s="243"/>
      <c r="E17" s="244"/>
      <c r="F17" s="824"/>
      <c r="G17" s="243"/>
      <c r="H17" s="244"/>
      <c r="I17" s="477"/>
      <c r="J17" s="238"/>
      <c r="K17" s="241"/>
      <c r="L17" s="249"/>
      <c r="M17" s="246"/>
      <c r="N17" s="247"/>
      <c r="O17" s="475">
        <f t="shared" si="2"/>
        <v>1500</v>
      </c>
      <c r="P17" s="764"/>
      <c r="Q17" s="837">
        <v>1500</v>
      </c>
    </row>
    <row r="18" spans="2:17" ht="19.5" customHeight="1">
      <c r="B18" s="476" t="s">
        <v>34</v>
      </c>
      <c r="C18" s="823">
        <f t="shared" si="0"/>
        <v>800</v>
      </c>
      <c r="D18" s="243">
        <v>800</v>
      </c>
      <c r="E18" s="244"/>
      <c r="F18" s="824">
        <f t="shared" si="1"/>
        <v>136</v>
      </c>
      <c r="G18" s="243">
        <v>136</v>
      </c>
      <c r="H18" s="244"/>
      <c r="I18" s="477">
        <f t="shared" si="4"/>
        <v>181.33333333333331</v>
      </c>
      <c r="J18" s="238">
        <f t="shared" si="3"/>
        <v>181.33333333333331</v>
      </c>
      <c r="K18" s="241">
        <f t="shared" si="3"/>
        <v>0</v>
      </c>
      <c r="L18" s="249"/>
      <c r="M18" s="246"/>
      <c r="N18" s="247"/>
      <c r="O18" s="475">
        <f t="shared" si="2"/>
        <v>1000</v>
      </c>
      <c r="P18" s="764">
        <v>1000</v>
      </c>
      <c r="Q18" s="837"/>
    </row>
    <row r="19" spans="2:17" ht="19.5" customHeight="1">
      <c r="B19" s="476" t="s">
        <v>33</v>
      </c>
      <c r="C19" s="823">
        <f t="shared" si="0"/>
        <v>500</v>
      </c>
      <c r="D19" s="243">
        <v>500</v>
      </c>
      <c r="E19" s="244"/>
      <c r="F19" s="824">
        <f t="shared" si="1"/>
        <v>0</v>
      </c>
      <c r="G19" s="243">
        <v>0</v>
      </c>
      <c r="H19" s="244"/>
      <c r="I19" s="477">
        <f t="shared" si="4"/>
        <v>0</v>
      </c>
      <c r="J19" s="238">
        <f t="shared" si="3"/>
        <v>0</v>
      </c>
      <c r="K19" s="241">
        <f t="shared" si="3"/>
        <v>0</v>
      </c>
      <c r="L19" s="249"/>
      <c r="M19" s="246"/>
      <c r="N19" s="247"/>
      <c r="O19" s="475">
        <f t="shared" si="2"/>
        <v>1000</v>
      </c>
      <c r="P19" s="764">
        <v>1000</v>
      </c>
      <c r="Q19" s="837"/>
    </row>
    <row r="20" spans="2:17" ht="19.5" customHeight="1">
      <c r="B20" s="476" t="s">
        <v>35</v>
      </c>
      <c r="C20" s="823">
        <f t="shared" si="0"/>
        <v>13800</v>
      </c>
      <c r="D20" s="243">
        <v>9800</v>
      </c>
      <c r="E20" s="244">
        <v>4000</v>
      </c>
      <c r="F20" s="824">
        <f t="shared" si="1"/>
        <v>9073</v>
      </c>
      <c r="G20" s="243">
        <v>6542</v>
      </c>
      <c r="H20" s="244">
        <v>2531</v>
      </c>
      <c r="I20" s="477">
        <f t="shared" si="4"/>
        <v>12097.333333333336</v>
      </c>
      <c r="J20" s="238">
        <f t="shared" si="3"/>
        <v>8722.666666666668</v>
      </c>
      <c r="K20" s="241">
        <f t="shared" si="3"/>
        <v>3374.666666666667</v>
      </c>
      <c r="L20" s="249"/>
      <c r="M20" s="246"/>
      <c r="N20" s="247"/>
      <c r="O20" s="475">
        <f t="shared" si="2"/>
        <v>12734</v>
      </c>
      <c r="P20" s="764">
        <f>9800-1672</f>
        <v>8128</v>
      </c>
      <c r="Q20" s="837">
        <f>6000-1394</f>
        <v>4606</v>
      </c>
    </row>
    <row r="21" spans="2:17" ht="19.5" customHeight="1">
      <c r="B21" s="478" t="s">
        <v>36</v>
      </c>
      <c r="C21" s="823">
        <f t="shared" si="0"/>
        <v>6650</v>
      </c>
      <c r="D21" s="243">
        <v>6500</v>
      </c>
      <c r="E21" s="244">
        <v>150</v>
      </c>
      <c r="F21" s="824">
        <f t="shared" si="1"/>
        <v>2140</v>
      </c>
      <c r="G21" s="243">
        <v>2049</v>
      </c>
      <c r="H21" s="244">
        <v>91</v>
      </c>
      <c r="I21" s="477">
        <f t="shared" si="4"/>
        <v>2853.3333333333335</v>
      </c>
      <c r="J21" s="238">
        <f t="shared" si="3"/>
        <v>2732</v>
      </c>
      <c r="K21" s="241">
        <f t="shared" si="3"/>
        <v>121.33333333333333</v>
      </c>
      <c r="L21" s="249"/>
      <c r="M21" s="246"/>
      <c r="N21" s="247"/>
      <c r="O21" s="475">
        <f t="shared" si="2"/>
        <v>6094</v>
      </c>
      <c r="P21" s="764">
        <v>5544</v>
      </c>
      <c r="Q21" s="837">
        <v>550</v>
      </c>
    </row>
    <row r="22" spans="2:17" ht="19.5" customHeight="1">
      <c r="B22" s="476" t="s">
        <v>55</v>
      </c>
      <c r="C22" s="823">
        <f t="shared" si="0"/>
        <v>3050</v>
      </c>
      <c r="D22" s="243">
        <v>1850</v>
      </c>
      <c r="E22" s="244">
        <v>1200</v>
      </c>
      <c r="F22" s="824">
        <f t="shared" si="1"/>
        <v>847</v>
      </c>
      <c r="G22" s="243">
        <v>450</v>
      </c>
      <c r="H22" s="244">
        <v>397</v>
      </c>
      <c r="I22" s="477">
        <f t="shared" si="4"/>
        <v>1129.3333333333335</v>
      </c>
      <c r="J22" s="238">
        <f t="shared" si="3"/>
        <v>600</v>
      </c>
      <c r="K22" s="241">
        <f t="shared" si="3"/>
        <v>529.3333333333334</v>
      </c>
      <c r="L22" s="249"/>
      <c r="M22" s="246"/>
      <c r="N22" s="247"/>
      <c r="O22" s="475">
        <f t="shared" si="2"/>
        <v>2750</v>
      </c>
      <c r="P22" s="764">
        <v>1500</v>
      </c>
      <c r="Q22" s="837">
        <v>1250</v>
      </c>
    </row>
    <row r="23" spans="2:17" ht="19.5" customHeight="1">
      <c r="B23" s="476" t="s">
        <v>38</v>
      </c>
      <c r="C23" s="823">
        <f t="shared" si="0"/>
        <v>3300</v>
      </c>
      <c r="D23" s="243">
        <v>2000</v>
      </c>
      <c r="E23" s="244">
        <v>1300</v>
      </c>
      <c r="F23" s="824">
        <f t="shared" si="1"/>
        <v>1142</v>
      </c>
      <c r="G23" s="243">
        <v>779</v>
      </c>
      <c r="H23" s="244">
        <v>363</v>
      </c>
      <c r="I23" s="477">
        <f t="shared" si="4"/>
        <v>1522.6666666666667</v>
      </c>
      <c r="J23" s="238">
        <f t="shared" si="3"/>
        <v>1038.6666666666667</v>
      </c>
      <c r="K23" s="241">
        <f t="shared" si="3"/>
        <v>484</v>
      </c>
      <c r="L23" s="249"/>
      <c r="M23" s="246"/>
      <c r="N23" s="247"/>
      <c r="O23" s="475">
        <f t="shared" si="2"/>
        <v>4000</v>
      </c>
      <c r="P23" s="764">
        <v>2500</v>
      </c>
      <c r="Q23" s="837">
        <v>1500</v>
      </c>
    </row>
    <row r="24" spans="2:17" ht="19.5" customHeight="1" thickBot="1">
      <c r="B24" s="479" t="s">
        <v>39</v>
      </c>
      <c r="C24" s="825">
        <f t="shared" si="0"/>
        <v>2650</v>
      </c>
      <c r="D24" s="250">
        <v>2000</v>
      </c>
      <c r="E24" s="251">
        <v>650</v>
      </c>
      <c r="F24" s="826">
        <f t="shared" si="1"/>
        <v>1292</v>
      </c>
      <c r="G24" s="250">
        <v>701</v>
      </c>
      <c r="H24" s="251">
        <v>591</v>
      </c>
      <c r="I24" s="480">
        <f t="shared" si="4"/>
        <v>1722.6666666666665</v>
      </c>
      <c r="J24" s="253">
        <f t="shared" si="3"/>
        <v>934.6666666666666</v>
      </c>
      <c r="K24" s="425">
        <f t="shared" si="3"/>
        <v>788</v>
      </c>
      <c r="L24" s="252"/>
      <c r="M24" s="256"/>
      <c r="N24" s="259"/>
      <c r="O24" s="481">
        <f t="shared" si="2"/>
        <v>2000</v>
      </c>
      <c r="P24" s="766">
        <v>1000</v>
      </c>
      <c r="Q24" s="838">
        <v>1000</v>
      </c>
    </row>
    <row r="25" spans="2:17" ht="22.5" customHeight="1" thickBot="1">
      <c r="B25" s="827" t="s">
        <v>43</v>
      </c>
      <c r="C25" s="828">
        <f aca="true" t="shared" si="5" ref="C25:K25">SUM(C9:C24)</f>
        <v>82998</v>
      </c>
      <c r="D25" s="767">
        <f t="shared" si="5"/>
        <v>49633</v>
      </c>
      <c r="E25" s="768">
        <f t="shared" si="5"/>
        <v>33365</v>
      </c>
      <c r="F25" s="829">
        <f t="shared" si="5"/>
        <v>42094</v>
      </c>
      <c r="G25" s="767">
        <f t="shared" si="5"/>
        <v>22205</v>
      </c>
      <c r="H25" s="768">
        <f t="shared" si="5"/>
        <v>19889</v>
      </c>
      <c r="I25" s="830">
        <f t="shared" si="5"/>
        <v>56125.333333333336</v>
      </c>
      <c r="J25" s="831">
        <f t="shared" si="5"/>
        <v>29606.66666666667</v>
      </c>
      <c r="K25" s="832">
        <f t="shared" si="5"/>
        <v>26518.66666666666</v>
      </c>
      <c r="L25" s="833">
        <v>1400</v>
      </c>
      <c r="M25" s="831"/>
      <c r="N25" s="832"/>
      <c r="O25" s="769">
        <f t="shared" si="2"/>
        <v>81878</v>
      </c>
      <c r="P25" s="770">
        <f>SUM(P9:P24)</f>
        <v>42172</v>
      </c>
      <c r="Q25" s="771">
        <f>SUM(Q9:Q24)</f>
        <v>39706</v>
      </c>
    </row>
    <row r="26" spans="2:17" ht="19.5" customHeight="1" thickBot="1">
      <c r="B26" s="843" t="s">
        <v>56</v>
      </c>
      <c r="C26" s="844"/>
      <c r="D26" s="845"/>
      <c r="E26" s="845"/>
      <c r="F26" s="846"/>
      <c r="G26" s="845"/>
      <c r="H26" s="845"/>
      <c r="I26" s="847"/>
      <c r="J26" s="687"/>
      <c r="K26" s="687"/>
      <c r="L26" s="687"/>
      <c r="M26" s="687"/>
      <c r="N26" s="773"/>
      <c r="O26" s="848">
        <f>'приложение 2'!H15</f>
        <v>600</v>
      </c>
      <c r="P26" s="849"/>
      <c r="Q26" s="850"/>
    </row>
    <row r="27" spans="2:17" ht="32.25" customHeight="1" thickBot="1">
      <c r="B27" s="839" t="s">
        <v>57</v>
      </c>
      <c r="C27" s="821"/>
      <c r="D27" s="236"/>
      <c r="E27" s="236"/>
      <c r="F27" s="834"/>
      <c r="G27" s="236"/>
      <c r="H27" s="236"/>
      <c r="I27" s="835"/>
      <c r="J27" s="238"/>
      <c r="K27" s="238"/>
      <c r="L27" s="238"/>
      <c r="M27" s="238"/>
      <c r="N27" s="241"/>
      <c r="O27" s="840">
        <f>O25+O26</f>
        <v>82478</v>
      </c>
      <c r="P27" s="841"/>
      <c r="Q27" s="842"/>
    </row>
    <row r="28" spans="2:17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20" ht="15.75">
      <c r="B29" s="294"/>
      <c r="R29" s="29"/>
      <c r="S29" s="29"/>
      <c r="T29" s="29"/>
    </row>
    <row r="30" spans="18:20" ht="15.75">
      <c r="R30" s="29"/>
      <c r="S30" s="29"/>
      <c r="T30" s="29"/>
    </row>
    <row r="31" spans="18:20" ht="39" customHeight="1">
      <c r="R31" s="29"/>
      <c r="S31" s="29"/>
      <c r="T31" s="29"/>
    </row>
    <row r="32" spans="18:20" ht="15.75">
      <c r="R32" s="29"/>
      <c r="S32" s="29"/>
      <c r="T32" s="29"/>
    </row>
    <row r="33" spans="18:20" ht="15.75">
      <c r="R33" s="29"/>
      <c r="S33" s="29"/>
      <c r="T33" s="29"/>
    </row>
    <row r="34" spans="2:20" ht="15.75">
      <c r="B34" s="962"/>
      <c r="C34" s="278"/>
      <c r="D34" s="278"/>
      <c r="E34" s="278"/>
      <c r="F34" s="278"/>
      <c r="G34" s="278"/>
      <c r="H34" s="278"/>
      <c r="I34" s="296"/>
      <c r="J34" s="296"/>
      <c r="K34" s="296"/>
      <c r="L34" s="296"/>
      <c r="M34" s="296"/>
      <c r="N34" s="296"/>
      <c r="O34" s="296"/>
      <c r="P34" s="296"/>
      <c r="Q34" s="296"/>
      <c r="R34" s="29"/>
      <c r="S34" s="29"/>
      <c r="T34" s="29"/>
    </row>
    <row r="35" spans="2:20" ht="15.75">
      <c r="B35" s="962"/>
      <c r="C35" s="278"/>
      <c r="D35" s="278"/>
      <c r="E35" s="278"/>
      <c r="F35" s="278"/>
      <c r="G35" s="278"/>
      <c r="H35" s="278"/>
      <c r="I35" s="296"/>
      <c r="J35" s="296"/>
      <c r="K35" s="296"/>
      <c r="L35" s="296"/>
      <c r="M35" s="296"/>
      <c r="N35" s="296"/>
      <c r="O35" s="296"/>
      <c r="P35" s="296"/>
      <c r="Q35" s="296"/>
      <c r="R35" s="29"/>
      <c r="S35" s="29"/>
      <c r="T35" s="29"/>
    </row>
    <row r="36" spans="2:20" ht="15.75">
      <c r="B36" s="297"/>
      <c r="C36" s="278"/>
      <c r="D36" s="278"/>
      <c r="E36" s="278"/>
      <c r="F36" s="278"/>
      <c r="G36" s="278"/>
      <c r="H36" s="278"/>
      <c r="I36" s="296"/>
      <c r="J36" s="296"/>
      <c r="K36" s="296"/>
      <c r="L36" s="296"/>
      <c r="M36" s="296"/>
      <c r="N36" s="296"/>
      <c r="O36" s="296"/>
      <c r="P36" s="296"/>
      <c r="Q36" s="296"/>
      <c r="R36" s="29"/>
      <c r="S36" s="29"/>
      <c r="T36" s="29"/>
    </row>
    <row r="37" spans="2:20" ht="15.75">
      <c r="B37" s="297"/>
      <c r="C37" s="278"/>
      <c r="D37" s="278"/>
      <c r="E37" s="278"/>
      <c r="F37" s="278"/>
      <c r="G37" s="278"/>
      <c r="H37" s="278"/>
      <c r="I37" s="296"/>
      <c r="J37" s="296"/>
      <c r="K37" s="296"/>
      <c r="L37" s="296"/>
      <c r="M37" s="296"/>
      <c r="N37" s="296"/>
      <c r="O37" s="296"/>
      <c r="P37" s="296"/>
      <c r="Q37" s="296"/>
      <c r="R37" s="29"/>
      <c r="S37" s="29"/>
      <c r="T37" s="29"/>
    </row>
    <row r="38" spans="2:19" ht="15.75">
      <c r="B38" s="297"/>
      <c r="C38" s="278"/>
      <c r="D38" s="278"/>
      <c r="E38" s="278"/>
      <c r="F38" s="278"/>
      <c r="G38" s="278"/>
      <c r="H38" s="278"/>
      <c r="I38" s="296"/>
      <c r="J38" s="296"/>
      <c r="K38" s="296"/>
      <c r="L38" s="296"/>
      <c r="M38" s="296"/>
      <c r="N38" s="296"/>
      <c r="O38" s="296"/>
      <c r="P38" s="296"/>
      <c r="Q38" s="296"/>
      <c r="S38" s="29"/>
    </row>
    <row r="39" spans="2:19" ht="15.75">
      <c r="B39" s="297"/>
      <c r="C39" s="278"/>
      <c r="D39" s="278"/>
      <c r="E39" s="278"/>
      <c r="F39" s="278"/>
      <c r="G39" s="278"/>
      <c r="H39" s="278"/>
      <c r="I39" s="296"/>
      <c r="J39" s="296"/>
      <c r="K39" s="296"/>
      <c r="L39" s="296"/>
      <c r="M39" s="296"/>
      <c r="N39" s="296"/>
      <c r="O39" s="296"/>
      <c r="P39" s="296"/>
      <c r="Q39" s="296"/>
      <c r="S39" s="29"/>
    </row>
    <row r="40" spans="2:19" ht="15.75">
      <c r="B40" s="297"/>
      <c r="C40" s="278"/>
      <c r="D40" s="278"/>
      <c r="E40" s="278"/>
      <c r="F40" s="278"/>
      <c r="G40" s="278"/>
      <c r="H40" s="278"/>
      <c r="I40" s="296"/>
      <c r="J40" s="296"/>
      <c r="K40" s="296"/>
      <c r="L40" s="296"/>
      <c r="M40" s="296"/>
      <c r="N40" s="296"/>
      <c r="O40" s="296"/>
      <c r="P40" s="296"/>
      <c r="Q40" s="296"/>
      <c r="S40" s="29"/>
    </row>
    <row r="41" spans="2:19" ht="15.75">
      <c r="B41" s="297"/>
      <c r="C41" s="278"/>
      <c r="D41" s="278"/>
      <c r="E41" s="278"/>
      <c r="F41" s="278"/>
      <c r="G41" s="278"/>
      <c r="H41" s="278"/>
      <c r="I41" s="296"/>
      <c r="J41" s="296"/>
      <c r="K41" s="296"/>
      <c r="L41" s="296"/>
      <c r="M41" s="296"/>
      <c r="N41" s="296"/>
      <c r="O41" s="296"/>
      <c r="P41" s="296"/>
      <c r="Q41" s="296"/>
      <c r="S41" s="29"/>
    </row>
    <row r="42" spans="2:19" ht="15.75">
      <c r="B42" s="297"/>
      <c r="C42" s="278"/>
      <c r="D42" s="278"/>
      <c r="E42" s="278"/>
      <c r="F42" s="278"/>
      <c r="G42" s="278"/>
      <c r="H42" s="278"/>
      <c r="I42" s="296"/>
      <c r="J42" s="296"/>
      <c r="K42" s="296"/>
      <c r="L42" s="296"/>
      <c r="M42" s="296"/>
      <c r="N42" s="296"/>
      <c r="O42" s="296"/>
      <c r="P42" s="296"/>
      <c r="Q42" s="296"/>
      <c r="S42" s="29"/>
    </row>
    <row r="43" spans="2:19" ht="15.75">
      <c r="B43" s="297"/>
      <c r="C43" s="278"/>
      <c r="D43" s="278"/>
      <c r="E43" s="278"/>
      <c r="F43" s="278"/>
      <c r="G43" s="278"/>
      <c r="H43" s="278"/>
      <c r="I43" s="296"/>
      <c r="J43" s="296"/>
      <c r="K43" s="296"/>
      <c r="L43" s="296"/>
      <c r="M43" s="296"/>
      <c r="N43" s="296"/>
      <c r="O43" s="296"/>
      <c r="P43" s="296"/>
      <c r="Q43" s="296"/>
      <c r="S43" s="29"/>
    </row>
    <row r="44" spans="2:19" ht="15.75">
      <c r="B44" s="297"/>
      <c r="C44" s="278"/>
      <c r="D44" s="278"/>
      <c r="E44" s="278"/>
      <c r="F44" s="278"/>
      <c r="G44" s="278"/>
      <c r="H44" s="278"/>
      <c r="I44" s="296"/>
      <c r="J44" s="296"/>
      <c r="K44" s="296"/>
      <c r="L44" s="296"/>
      <c r="M44" s="296"/>
      <c r="N44" s="296"/>
      <c r="O44" s="296"/>
      <c r="P44" s="296"/>
      <c r="Q44" s="296"/>
      <c r="S44" s="29"/>
    </row>
    <row r="45" spans="2:19" ht="15.75">
      <c r="B45" s="297"/>
      <c r="C45" s="278"/>
      <c r="D45" s="278"/>
      <c r="E45" s="278"/>
      <c r="F45" s="278"/>
      <c r="G45" s="278"/>
      <c r="H45" s="278"/>
      <c r="I45" s="296"/>
      <c r="J45" s="296"/>
      <c r="K45" s="296"/>
      <c r="L45" s="296"/>
      <c r="M45" s="296"/>
      <c r="N45" s="296"/>
      <c r="O45" s="296"/>
      <c r="P45" s="296"/>
      <c r="Q45" s="296"/>
      <c r="S45" s="29"/>
    </row>
    <row r="46" spans="2:19" ht="15.75">
      <c r="B46" s="297"/>
      <c r="C46" s="278"/>
      <c r="D46" s="278"/>
      <c r="E46" s="278"/>
      <c r="F46" s="278"/>
      <c r="G46" s="278"/>
      <c r="H46" s="278"/>
      <c r="I46" s="296"/>
      <c r="J46" s="296"/>
      <c r="K46" s="296"/>
      <c r="L46" s="296"/>
      <c r="M46" s="296"/>
      <c r="N46" s="296"/>
      <c r="O46" s="296"/>
      <c r="P46" s="296"/>
      <c r="Q46" s="296"/>
      <c r="S46" s="29"/>
    </row>
    <row r="47" spans="2:19" ht="15.75">
      <c r="B47" s="298"/>
      <c r="C47" s="278"/>
      <c r="D47" s="278"/>
      <c r="E47" s="278"/>
      <c r="F47" s="278"/>
      <c r="G47" s="278"/>
      <c r="H47" s="278"/>
      <c r="I47" s="296"/>
      <c r="J47" s="296"/>
      <c r="K47" s="296"/>
      <c r="L47" s="296"/>
      <c r="M47" s="296"/>
      <c r="N47" s="296"/>
      <c r="O47" s="296"/>
      <c r="P47" s="296"/>
      <c r="Q47" s="296"/>
      <c r="S47" s="29"/>
    </row>
    <row r="48" spans="2:19" ht="15.75">
      <c r="B48" s="297"/>
      <c r="C48" s="278"/>
      <c r="D48" s="278"/>
      <c r="E48" s="278"/>
      <c r="F48" s="278"/>
      <c r="G48" s="278"/>
      <c r="H48" s="278"/>
      <c r="I48" s="296"/>
      <c r="J48" s="296"/>
      <c r="K48" s="296"/>
      <c r="L48" s="296"/>
      <c r="M48" s="296"/>
      <c r="N48" s="296"/>
      <c r="O48" s="296"/>
      <c r="P48" s="296"/>
      <c r="Q48" s="296"/>
      <c r="S48" s="29"/>
    </row>
    <row r="49" spans="2:19" ht="15.75">
      <c r="B49" s="297"/>
      <c r="C49" s="278"/>
      <c r="D49" s="278"/>
      <c r="E49" s="278"/>
      <c r="F49" s="278"/>
      <c r="G49" s="278"/>
      <c r="H49" s="278"/>
      <c r="I49" s="296"/>
      <c r="J49" s="296"/>
      <c r="K49" s="296"/>
      <c r="L49" s="296"/>
      <c r="M49" s="296"/>
      <c r="N49" s="296"/>
      <c r="O49" s="296"/>
      <c r="P49" s="296"/>
      <c r="Q49" s="296"/>
      <c r="S49" s="29"/>
    </row>
    <row r="50" spans="2:19" ht="15.75">
      <c r="B50" s="297"/>
      <c r="C50" s="278"/>
      <c r="D50" s="278"/>
      <c r="E50" s="278"/>
      <c r="F50" s="278"/>
      <c r="G50" s="278"/>
      <c r="H50" s="278"/>
      <c r="I50" s="296"/>
      <c r="J50" s="296"/>
      <c r="K50" s="296"/>
      <c r="L50" s="296"/>
      <c r="M50" s="296"/>
      <c r="N50" s="296"/>
      <c r="O50" s="296"/>
      <c r="P50" s="296"/>
      <c r="Q50" s="296"/>
      <c r="S50" s="29"/>
    </row>
    <row r="51" spans="2:19" ht="15.75">
      <c r="B51" s="278"/>
      <c r="C51" s="278"/>
      <c r="D51" s="278"/>
      <c r="E51" s="278"/>
      <c r="F51" s="278"/>
      <c r="G51" s="278"/>
      <c r="H51" s="278"/>
      <c r="I51" s="296"/>
      <c r="J51" s="296"/>
      <c r="K51" s="296"/>
      <c r="L51" s="296"/>
      <c r="M51" s="296"/>
      <c r="N51" s="296"/>
      <c r="O51" s="296"/>
      <c r="P51" s="296"/>
      <c r="Q51" s="296"/>
      <c r="S51" s="29"/>
    </row>
    <row r="52" spans="2:19" ht="15.75">
      <c r="B52" s="278"/>
      <c r="C52" s="278"/>
      <c r="D52" s="278"/>
      <c r="E52" s="278"/>
      <c r="F52" s="278"/>
      <c r="G52" s="278"/>
      <c r="H52" s="278"/>
      <c r="I52" s="296"/>
      <c r="J52" s="296"/>
      <c r="K52" s="296"/>
      <c r="L52" s="296"/>
      <c r="M52" s="296"/>
      <c r="N52" s="296"/>
      <c r="O52" s="296"/>
      <c r="P52" s="296"/>
      <c r="Q52" s="296"/>
      <c r="S52" s="29"/>
    </row>
    <row r="53" spans="2:19" ht="15.75">
      <c r="B53" s="278"/>
      <c r="C53" s="278"/>
      <c r="D53" s="278"/>
      <c r="E53" s="278"/>
      <c r="F53" s="278"/>
      <c r="G53" s="278"/>
      <c r="H53" s="278"/>
      <c r="I53" s="296"/>
      <c r="J53" s="296"/>
      <c r="K53" s="296"/>
      <c r="L53" s="296"/>
      <c r="M53" s="296"/>
      <c r="N53" s="296"/>
      <c r="O53" s="296"/>
      <c r="P53" s="296"/>
      <c r="Q53" s="296"/>
      <c r="S53" s="29"/>
    </row>
    <row r="54" spans="2:17" ht="15.75">
      <c r="B54" s="278"/>
      <c r="C54" s="278"/>
      <c r="D54" s="278"/>
      <c r="E54" s="278"/>
      <c r="F54" s="278"/>
      <c r="G54" s="278"/>
      <c r="H54" s="278"/>
      <c r="I54" s="299"/>
      <c r="J54" s="300"/>
      <c r="K54" s="300"/>
      <c r="L54" s="300"/>
      <c r="M54" s="300"/>
      <c r="N54" s="300"/>
      <c r="O54" s="300"/>
      <c r="P54" s="300"/>
      <c r="Q54" s="300"/>
    </row>
    <row r="55" spans="2:17" ht="15.75">
      <c r="B55" s="278"/>
      <c r="C55" s="278"/>
      <c r="D55" s="278"/>
      <c r="E55" s="278"/>
      <c r="F55" s="278"/>
      <c r="G55" s="278"/>
      <c r="H55" s="278"/>
      <c r="I55" s="299"/>
      <c r="J55" s="300"/>
      <c r="K55" s="300"/>
      <c r="L55" s="300"/>
      <c r="M55" s="300"/>
      <c r="N55" s="300"/>
      <c r="O55" s="300"/>
      <c r="P55" s="300"/>
      <c r="Q55" s="300"/>
    </row>
    <row r="56" spans="2:17" ht="15.75">
      <c r="B56" s="278"/>
      <c r="C56" s="278"/>
      <c r="D56" s="278"/>
      <c r="E56" s="278"/>
      <c r="F56" s="278"/>
      <c r="G56" s="278"/>
      <c r="H56" s="278"/>
      <c r="I56" s="299"/>
      <c r="J56" s="300"/>
      <c r="K56" s="300"/>
      <c r="L56" s="300"/>
      <c r="M56" s="300"/>
      <c r="N56" s="300"/>
      <c r="O56" s="300"/>
      <c r="P56" s="300"/>
      <c r="Q56" s="300"/>
    </row>
    <row r="57" spans="2:17" ht="15" customHeight="1" hidden="1">
      <c r="B57" s="278"/>
      <c r="C57" s="278"/>
      <c r="D57" s="278"/>
      <c r="E57" s="278"/>
      <c r="F57" s="278"/>
      <c r="G57" s="278"/>
      <c r="H57" s="278"/>
      <c r="I57" s="299"/>
      <c r="J57" s="300"/>
      <c r="K57" s="300"/>
      <c r="L57" s="300"/>
      <c r="M57" s="300"/>
      <c r="N57" s="300"/>
      <c r="O57" s="300"/>
      <c r="P57" s="300"/>
      <c r="Q57" s="300"/>
    </row>
    <row r="58" spans="2:17" ht="15.75" customHeight="1" hidden="1" thickBot="1">
      <c r="B58" s="962"/>
      <c r="C58" s="963"/>
      <c r="D58" s="963"/>
      <c r="E58" s="963"/>
      <c r="F58" s="963"/>
      <c r="G58" s="964"/>
      <c r="H58" s="964"/>
      <c r="I58" s="965"/>
      <c r="J58" s="965"/>
      <c r="K58" s="965"/>
      <c r="L58" s="301"/>
      <c r="M58" s="301"/>
      <c r="N58" s="301"/>
      <c r="O58" s="301"/>
      <c r="P58" s="301"/>
      <c r="Q58" s="301"/>
    </row>
    <row r="59" spans="2:17" ht="15" customHeight="1" hidden="1">
      <c r="B59" s="962"/>
      <c r="C59" s="302"/>
      <c r="D59" s="302"/>
      <c r="E59" s="302"/>
      <c r="F59" s="302"/>
      <c r="G59" s="302"/>
      <c r="H59" s="302"/>
      <c r="I59" s="303"/>
      <c r="J59" s="303"/>
      <c r="K59" s="965"/>
      <c r="L59" s="301"/>
      <c r="M59" s="301"/>
      <c r="N59" s="301"/>
      <c r="O59" s="301"/>
      <c r="P59" s="301"/>
      <c r="Q59" s="301"/>
    </row>
    <row r="60" spans="2:17" ht="65.25" customHeight="1" hidden="1">
      <c r="B60" s="297"/>
      <c r="C60" s="304"/>
      <c r="D60" s="304"/>
      <c r="E60" s="304"/>
      <c r="F60" s="304"/>
      <c r="G60" s="278"/>
      <c r="H60" s="278"/>
      <c r="I60" s="299"/>
      <c r="J60" s="299"/>
      <c r="K60" s="299"/>
      <c r="L60" s="299"/>
      <c r="M60" s="299"/>
      <c r="N60" s="299"/>
      <c r="O60" s="299"/>
      <c r="P60" s="299"/>
      <c r="Q60" s="299"/>
    </row>
    <row r="61" spans="2:17" ht="15" customHeight="1" hidden="1" thickBot="1">
      <c r="B61" s="297"/>
      <c r="C61" s="304"/>
      <c r="D61" s="304"/>
      <c r="E61" s="304"/>
      <c r="F61" s="304"/>
      <c r="G61" s="278"/>
      <c r="H61" s="278"/>
      <c r="I61" s="299"/>
      <c r="J61" s="299"/>
      <c r="K61" s="299"/>
      <c r="L61" s="299"/>
      <c r="M61" s="299"/>
      <c r="N61" s="299"/>
      <c r="O61" s="299"/>
      <c r="P61" s="299"/>
      <c r="Q61" s="299"/>
    </row>
    <row r="62" spans="2:17" ht="15.75" customHeight="1" hidden="1" thickBot="1">
      <c r="B62" s="297"/>
      <c r="C62" s="304"/>
      <c r="D62" s="304"/>
      <c r="E62" s="304"/>
      <c r="F62" s="304"/>
      <c r="G62" s="278"/>
      <c r="H62" s="278"/>
      <c r="I62" s="299"/>
      <c r="J62" s="299"/>
      <c r="K62" s="299"/>
      <c r="L62" s="299"/>
      <c r="M62" s="299"/>
      <c r="N62" s="299"/>
      <c r="O62" s="299"/>
      <c r="P62" s="299"/>
      <c r="Q62" s="299"/>
    </row>
    <row r="63" spans="2:17" ht="15" customHeight="1" hidden="1">
      <c r="B63" s="297"/>
      <c r="C63" s="304"/>
      <c r="D63" s="304"/>
      <c r="E63" s="304"/>
      <c r="F63" s="304"/>
      <c r="G63" s="278"/>
      <c r="H63" s="278"/>
      <c r="I63" s="299"/>
      <c r="J63" s="299"/>
      <c r="K63" s="299"/>
      <c r="L63" s="299"/>
      <c r="M63" s="299"/>
      <c r="N63" s="299"/>
      <c r="O63" s="299"/>
      <c r="P63" s="299"/>
      <c r="Q63" s="299"/>
    </row>
    <row r="64" spans="2:17" ht="15" customHeight="1" hidden="1">
      <c r="B64" s="297"/>
      <c r="C64" s="304"/>
      <c r="D64" s="304"/>
      <c r="E64" s="304"/>
      <c r="F64" s="304"/>
      <c r="G64" s="278"/>
      <c r="H64" s="278"/>
      <c r="I64" s="299"/>
      <c r="J64" s="299"/>
      <c r="K64" s="299"/>
      <c r="L64" s="299"/>
      <c r="M64" s="299"/>
      <c r="N64" s="299"/>
      <c r="O64" s="299"/>
      <c r="P64" s="299"/>
      <c r="Q64" s="299"/>
    </row>
    <row r="65" spans="2:17" ht="15" customHeight="1" hidden="1">
      <c r="B65" s="297"/>
      <c r="C65" s="304"/>
      <c r="D65" s="304"/>
      <c r="E65" s="304"/>
      <c r="F65" s="304"/>
      <c r="G65" s="278"/>
      <c r="H65" s="278"/>
      <c r="I65" s="299"/>
      <c r="J65" s="299"/>
      <c r="K65" s="299"/>
      <c r="L65" s="299"/>
      <c r="M65" s="299"/>
      <c r="N65" s="299"/>
      <c r="O65" s="299"/>
      <c r="P65" s="299"/>
      <c r="Q65" s="299"/>
    </row>
    <row r="66" spans="2:17" ht="15" customHeight="1" hidden="1">
      <c r="B66" s="297"/>
      <c r="C66" s="304"/>
      <c r="D66" s="304"/>
      <c r="E66" s="304"/>
      <c r="F66" s="304"/>
      <c r="G66" s="278"/>
      <c r="H66" s="278"/>
      <c r="I66" s="299"/>
      <c r="J66" s="299"/>
      <c r="K66" s="299"/>
      <c r="L66" s="299"/>
      <c r="M66" s="299"/>
      <c r="N66" s="299"/>
      <c r="O66" s="299"/>
      <c r="P66" s="299"/>
      <c r="Q66" s="299"/>
    </row>
    <row r="67" spans="2:17" ht="15" customHeight="1" hidden="1">
      <c r="B67" s="297"/>
      <c r="C67" s="304"/>
      <c r="D67" s="304"/>
      <c r="E67" s="304"/>
      <c r="F67" s="304"/>
      <c r="G67" s="278"/>
      <c r="H67" s="278"/>
      <c r="I67" s="299"/>
      <c r="J67" s="299"/>
      <c r="K67" s="299"/>
      <c r="L67" s="299"/>
      <c r="M67" s="299"/>
      <c r="N67" s="299"/>
      <c r="O67" s="299"/>
      <c r="P67" s="299"/>
      <c r="Q67" s="299"/>
    </row>
    <row r="68" spans="2:17" ht="15" customHeight="1" hidden="1">
      <c r="B68" s="297"/>
      <c r="C68" s="304"/>
      <c r="D68" s="304"/>
      <c r="E68" s="304"/>
      <c r="F68" s="304"/>
      <c r="G68" s="278"/>
      <c r="H68" s="278"/>
      <c r="I68" s="299"/>
      <c r="J68" s="299"/>
      <c r="K68" s="299"/>
      <c r="L68" s="299"/>
      <c r="M68" s="299"/>
      <c r="N68" s="299"/>
      <c r="O68" s="299"/>
      <c r="P68" s="299"/>
      <c r="Q68" s="299"/>
    </row>
    <row r="69" spans="2:19" ht="15" customHeight="1" hidden="1">
      <c r="B69" s="297"/>
      <c r="C69" s="304"/>
      <c r="D69" s="304"/>
      <c r="E69" s="304"/>
      <c r="F69" s="304"/>
      <c r="G69" s="278"/>
      <c r="H69" s="278"/>
      <c r="I69" s="299"/>
      <c r="J69" s="299"/>
      <c r="K69" s="299"/>
      <c r="L69" s="299"/>
      <c r="M69" s="299"/>
      <c r="N69" s="299"/>
      <c r="O69" s="299"/>
      <c r="P69" s="299"/>
      <c r="Q69" s="299"/>
      <c r="S69" s="29"/>
    </row>
    <row r="70" spans="2:19" ht="15" customHeight="1" hidden="1">
      <c r="B70" s="297"/>
      <c r="C70" s="304"/>
      <c r="D70" s="304"/>
      <c r="E70" s="304"/>
      <c r="F70" s="304"/>
      <c r="G70" s="278"/>
      <c r="H70" s="278"/>
      <c r="I70" s="299"/>
      <c r="J70" s="299"/>
      <c r="K70" s="299"/>
      <c r="L70" s="299"/>
      <c r="M70" s="299"/>
      <c r="N70" s="299"/>
      <c r="O70" s="299"/>
      <c r="P70" s="299"/>
      <c r="Q70" s="299"/>
      <c r="S70" s="29"/>
    </row>
    <row r="71" spans="2:19" ht="15" customHeight="1" hidden="1">
      <c r="B71" s="297"/>
      <c r="C71" s="304"/>
      <c r="D71" s="304"/>
      <c r="E71" s="304"/>
      <c r="F71" s="304"/>
      <c r="G71" s="278"/>
      <c r="H71" s="278"/>
      <c r="I71" s="299"/>
      <c r="J71" s="299"/>
      <c r="K71" s="299"/>
      <c r="L71" s="299"/>
      <c r="M71" s="299"/>
      <c r="N71" s="299"/>
      <c r="O71" s="299"/>
      <c r="P71" s="299"/>
      <c r="Q71" s="299"/>
      <c r="S71" s="29"/>
    </row>
    <row r="72" spans="2:19" ht="15" customHeight="1" hidden="1">
      <c r="B72" s="298"/>
      <c r="C72" s="304"/>
      <c r="D72" s="304"/>
      <c r="E72" s="304"/>
      <c r="F72" s="304"/>
      <c r="G72" s="278"/>
      <c r="H72" s="278"/>
      <c r="I72" s="299"/>
      <c r="J72" s="299"/>
      <c r="K72" s="299"/>
      <c r="L72" s="299"/>
      <c r="M72" s="299"/>
      <c r="N72" s="299"/>
      <c r="O72" s="299"/>
      <c r="P72" s="299"/>
      <c r="Q72" s="299"/>
      <c r="S72" s="29"/>
    </row>
    <row r="73" spans="2:19" ht="15" customHeight="1" hidden="1">
      <c r="B73" s="297"/>
      <c r="C73" s="304"/>
      <c r="D73" s="304"/>
      <c r="E73" s="304"/>
      <c r="F73" s="304"/>
      <c r="G73" s="278"/>
      <c r="H73" s="278"/>
      <c r="I73" s="299"/>
      <c r="J73" s="299"/>
      <c r="K73" s="299"/>
      <c r="L73" s="299"/>
      <c r="M73" s="299"/>
      <c r="N73" s="299"/>
      <c r="O73" s="299"/>
      <c r="P73" s="299"/>
      <c r="Q73" s="299"/>
      <c r="S73" s="29"/>
    </row>
    <row r="74" spans="2:19" ht="15" customHeight="1" hidden="1">
      <c r="B74" s="297"/>
      <c r="C74" s="304"/>
      <c r="D74" s="304"/>
      <c r="E74" s="304"/>
      <c r="F74" s="304"/>
      <c r="G74" s="278"/>
      <c r="H74" s="278"/>
      <c r="I74" s="299"/>
      <c r="J74" s="299"/>
      <c r="K74" s="299"/>
      <c r="L74" s="299"/>
      <c r="M74" s="299"/>
      <c r="N74" s="299"/>
      <c r="O74" s="299"/>
      <c r="P74" s="299"/>
      <c r="Q74" s="299"/>
      <c r="S74" s="29"/>
    </row>
    <row r="75" spans="2:19" ht="15" customHeight="1" hidden="1">
      <c r="B75" s="297"/>
      <c r="C75" s="304"/>
      <c r="D75" s="304"/>
      <c r="E75" s="304"/>
      <c r="F75" s="304"/>
      <c r="G75" s="278"/>
      <c r="H75" s="278"/>
      <c r="I75" s="299"/>
      <c r="J75" s="299"/>
      <c r="K75" s="299"/>
      <c r="L75" s="299"/>
      <c r="M75" s="299"/>
      <c r="N75" s="299"/>
      <c r="O75" s="299"/>
      <c r="P75" s="299"/>
      <c r="Q75" s="299"/>
      <c r="S75" s="29"/>
    </row>
    <row r="76" spans="2:19" ht="15" customHeight="1" hidden="1">
      <c r="B76" s="295"/>
      <c r="C76" s="295"/>
      <c r="D76" s="295"/>
      <c r="E76" s="295"/>
      <c r="F76" s="295"/>
      <c r="G76" s="295"/>
      <c r="H76" s="295"/>
      <c r="I76" s="305"/>
      <c r="J76" s="305"/>
      <c r="K76" s="305"/>
      <c r="L76" s="305"/>
      <c r="M76" s="305"/>
      <c r="N76" s="305"/>
      <c r="O76" s="305"/>
      <c r="P76" s="305"/>
      <c r="Q76" s="305"/>
      <c r="S76" s="29"/>
    </row>
    <row r="77" spans="2:19" ht="15" customHeight="1" hidden="1">
      <c r="B77" s="304"/>
      <c r="C77" s="304"/>
      <c r="D77" s="304"/>
      <c r="E77" s="304"/>
      <c r="F77" s="304"/>
      <c r="G77" s="304"/>
      <c r="H77" s="304"/>
      <c r="I77" s="299"/>
      <c r="J77" s="299"/>
      <c r="K77" s="299"/>
      <c r="L77" s="299"/>
      <c r="M77" s="299"/>
      <c r="N77" s="299"/>
      <c r="O77" s="299"/>
      <c r="P77" s="299"/>
      <c r="Q77" s="299"/>
      <c r="S77" s="29"/>
    </row>
    <row r="78" spans="2:19" ht="15" customHeight="1" hidden="1">
      <c r="B78" s="304"/>
      <c r="C78" s="304"/>
      <c r="D78" s="304"/>
      <c r="E78" s="304"/>
      <c r="F78" s="304"/>
      <c r="G78" s="304"/>
      <c r="H78" s="304"/>
      <c r="I78" s="299"/>
      <c r="J78" s="299"/>
      <c r="K78" s="299"/>
      <c r="L78" s="299"/>
      <c r="M78" s="299"/>
      <c r="N78" s="299"/>
      <c r="O78" s="299"/>
      <c r="P78" s="299"/>
      <c r="Q78" s="299"/>
      <c r="S78" s="29"/>
    </row>
    <row r="79" spans="2:19" ht="15" customHeight="1" hidden="1">
      <c r="B79" s="278"/>
      <c r="C79" s="278"/>
      <c r="D79" s="278"/>
      <c r="E79" s="278"/>
      <c r="F79" s="278"/>
      <c r="G79" s="278"/>
      <c r="H79" s="278"/>
      <c r="I79" s="296"/>
      <c r="J79" s="296"/>
      <c r="K79" s="296"/>
      <c r="L79" s="296"/>
      <c r="M79" s="296"/>
      <c r="N79" s="296"/>
      <c r="O79" s="296"/>
      <c r="P79" s="296"/>
      <c r="Q79" s="296"/>
      <c r="S79" s="29"/>
    </row>
    <row r="80" spans="2:19" ht="15" customHeight="1" hidden="1">
      <c r="B80" s="278"/>
      <c r="C80" s="278"/>
      <c r="D80" s="278"/>
      <c r="E80" s="278"/>
      <c r="F80" s="278"/>
      <c r="G80" s="278"/>
      <c r="H80" s="278"/>
      <c r="I80" s="296"/>
      <c r="J80" s="296"/>
      <c r="K80" s="296"/>
      <c r="L80" s="296"/>
      <c r="M80" s="296"/>
      <c r="N80" s="296"/>
      <c r="O80" s="296"/>
      <c r="P80" s="296"/>
      <c r="Q80" s="296"/>
      <c r="S80" s="29"/>
    </row>
    <row r="81" spans="2:19" ht="15" customHeight="1" hidden="1">
      <c r="B81" s="278"/>
      <c r="C81" s="278"/>
      <c r="D81" s="278"/>
      <c r="E81" s="278"/>
      <c r="F81" s="278"/>
      <c r="G81" s="278"/>
      <c r="H81" s="278"/>
      <c r="I81" s="296"/>
      <c r="J81" s="296"/>
      <c r="K81" s="296"/>
      <c r="L81" s="296"/>
      <c r="M81" s="296"/>
      <c r="N81" s="296"/>
      <c r="O81" s="296"/>
      <c r="P81" s="296"/>
      <c r="Q81" s="296"/>
      <c r="S81" s="29"/>
    </row>
    <row r="82" spans="2:19" ht="15" customHeight="1" hidden="1">
      <c r="B82" s="278"/>
      <c r="C82" s="278"/>
      <c r="D82" s="278"/>
      <c r="E82" s="278"/>
      <c r="F82" s="278"/>
      <c r="G82" s="278"/>
      <c r="H82" s="278"/>
      <c r="I82" s="296"/>
      <c r="J82" s="296"/>
      <c r="K82" s="296"/>
      <c r="L82" s="296"/>
      <c r="M82" s="296"/>
      <c r="N82" s="296"/>
      <c r="O82" s="296"/>
      <c r="P82" s="296"/>
      <c r="Q82" s="296"/>
      <c r="S82" s="29"/>
    </row>
    <row r="83" spans="2:19" ht="15" customHeight="1" hidden="1">
      <c r="B83" s="278"/>
      <c r="C83" s="278"/>
      <c r="D83" s="278"/>
      <c r="E83" s="278"/>
      <c r="F83" s="278"/>
      <c r="G83" s="278"/>
      <c r="H83" s="278"/>
      <c r="I83" s="296"/>
      <c r="J83" s="296"/>
      <c r="K83" s="296"/>
      <c r="L83" s="296"/>
      <c r="M83" s="296"/>
      <c r="N83" s="296"/>
      <c r="O83" s="296"/>
      <c r="P83" s="296"/>
      <c r="Q83" s="296"/>
      <c r="S83" s="29"/>
    </row>
    <row r="84" spans="2:19" ht="15.75" customHeight="1" hidden="1" thickBot="1">
      <c r="B84" s="278"/>
      <c r="C84" s="278"/>
      <c r="D84" s="278"/>
      <c r="E84" s="278"/>
      <c r="F84" s="278"/>
      <c r="G84" s="278"/>
      <c r="H84" s="278"/>
      <c r="I84" s="296"/>
      <c r="J84" s="296"/>
      <c r="K84" s="296"/>
      <c r="L84" s="296"/>
      <c r="M84" s="296"/>
      <c r="N84" s="296"/>
      <c r="O84" s="296"/>
      <c r="P84" s="296"/>
      <c r="Q84" s="296"/>
      <c r="S84" s="29"/>
    </row>
    <row r="85" spans="2:19" ht="15.75" customHeight="1" hidden="1" thickBot="1">
      <c r="B85" s="278"/>
      <c r="C85" s="278"/>
      <c r="D85" s="278"/>
      <c r="E85" s="278"/>
      <c r="F85" s="278"/>
      <c r="G85" s="278"/>
      <c r="H85" s="278"/>
      <c r="I85" s="296"/>
      <c r="J85" s="296"/>
      <c r="K85" s="296"/>
      <c r="L85" s="296"/>
      <c r="M85" s="296"/>
      <c r="N85" s="296"/>
      <c r="O85" s="296"/>
      <c r="P85" s="296"/>
      <c r="Q85" s="296"/>
      <c r="S85" s="29"/>
    </row>
    <row r="86" spans="2:17" ht="15" customHeight="1" hidden="1">
      <c r="B86" s="278"/>
      <c r="C86" s="278"/>
      <c r="D86" s="278"/>
      <c r="E86" s="278"/>
      <c r="F86" s="278"/>
      <c r="G86" s="278"/>
      <c r="H86" s="278"/>
      <c r="I86" s="296"/>
      <c r="J86" s="296"/>
      <c r="K86" s="296"/>
      <c r="L86" s="296"/>
      <c r="M86" s="296"/>
      <c r="N86" s="296"/>
      <c r="O86" s="296"/>
      <c r="P86" s="296"/>
      <c r="Q86" s="296"/>
    </row>
    <row r="87" spans="2:17" ht="15" customHeight="1" hidden="1">
      <c r="B87" s="278"/>
      <c r="C87" s="278"/>
      <c r="D87" s="278"/>
      <c r="E87" s="278"/>
      <c r="F87" s="278"/>
      <c r="G87" s="278"/>
      <c r="H87" s="278"/>
      <c r="I87" s="296"/>
      <c r="J87" s="296"/>
      <c r="K87" s="296"/>
      <c r="L87" s="296"/>
      <c r="M87" s="296"/>
      <c r="N87" s="296"/>
      <c r="O87" s="296"/>
      <c r="P87" s="296"/>
      <c r="Q87" s="296"/>
    </row>
    <row r="88" spans="2:17" ht="15" customHeight="1" hidden="1">
      <c r="B88" s="278"/>
      <c r="C88" s="278"/>
      <c r="D88" s="278"/>
      <c r="E88" s="278"/>
      <c r="F88" s="278"/>
      <c r="G88" s="278"/>
      <c r="H88" s="278"/>
      <c r="I88" s="296"/>
      <c r="J88" s="296"/>
      <c r="K88" s="296"/>
      <c r="L88" s="296"/>
      <c r="M88" s="296"/>
      <c r="N88" s="296"/>
      <c r="O88" s="296"/>
      <c r="P88" s="296"/>
      <c r="Q88" s="296"/>
    </row>
    <row r="89" spans="2:17" ht="15.75" customHeight="1" hidden="1" thickBot="1">
      <c r="B89" s="278"/>
      <c r="C89" s="278"/>
      <c r="D89" s="278"/>
      <c r="E89" s="278"/>
      <c r="F89" s="278"/>
      <c r="G89" s="278"/>
      <c r="H89" s="278"/>
      <c r="I89" s="296"/>
      <c r="J89" s="296"/>
      <c r="K89" s="296"/>
      <c r="L89" s="296"/>
      <c r="M89" s="296"/>
      <c r="N89" s="296"/>
      <c r="O89" s="296"/>
      <c r="P89" s="296"/>
      <c r="Q89" s="296"/>
    </row>
    <row r="90" spans="2:17" ht="15" customHeight="1" hidden="1">
      <c r="B90" s="278"/>
      <c r="C90" s="278"/>
      <c r="D90" s="278"/>
      <c r="E90" s="278"/>
      <c r="F90" s="278"/>
      <c r="G90" s="278"/>
      <c r="H90" s="278"/>
      <c r="I90" s="296"/>
      <c r="J90" s="296"/>
      <c r="K90" s="296"/>
      <c r="L90" s="296"/>
      <c r="M90" s="296"/>
      <c r="N90" s="296"/>
      <c r="O90" s="296"/>
      <c r="P90" s="296"/>
      <c r="Q90" s="296"/>
    </row>
    <row r="91" spans="2:17" ht="65.25" customHeight="1" hidden="1">
      <c r="B91" s="278"/>
      <c r="C91" s="278"/>
      <c r="D91" s="278"/>
      <c r="E91" s="278"/>
      <c r="F91" s="278"/>
      <c r="G91" s="278"/>
      <c r="H91" s="278"/>
      <c r="I91" s="296"/>
      <c r="J91" s="296"/>
      <c r="K91" s="296"/>
      <c r="L91" s="296"/>
      <c r="M91" s="296"/>
      <c r="N91" s="296"/>
      <c r="O91" s="296"/>
      <c r="P91" s="296"/>
      <c r="Q91" s="296"/>
    </row>
    <row r="92" spans="2:17" ht="15" customHeight="1" hidden="1" thickBot="1">
      <c r="B92" s="278"/>
      <c r="C92" s="278"/>
      <c r="D92" s="278"/>
      <c r="E92" s="278"/>
      <c r="F92" s="278"/>
      <c r="G92" s="278"/>
      <c r="H92" s="278"/>
      <c r="I92" s="296"/>
      <c r="J92" s="296"/>
      <c r="K92" s="296"/>
      <c r="L92" s="296"/>
      <c r="M92" s="296"/>
      <c r="N92" s="296"/>
      <c r="O92" s="296"/>
      <c r="P92" s="296"/>
      <c r="Q92" s="296"/>
    </row>
    <row r="93" spans="2:17" ht="15.75" customHeight="1" hidden="1" thickBot="1">
      <c r="B93" s="278"/>
      <c r="C93" s="278"/>
      <c r="D93" s="278"/>
      <c r="E93" s="278"/>
      <c r="F93" s="278"/>
      <c r="G93" s="278"/>
      <c r="H93" s="278"/>
      <c r="I93" s="296"/>
      <c r="J93" s="296"/>
      <c r="K93" s="296"/>
      <c r="L93" s="296"/>
      <c r="M93" s="296"/>
      <c r="N93" s="296"/>
      <c r="O93" s="296"/>
      <c r="P93" s="296"/>
      <c r="Q93" s="296"/>
    </row>
    <row r="94" spans="2:17" ht="15.75" customHeight="1" hidden="1" thickBot="1">
      <c r="B94" s="278"/>
      <c r="C94" s="278"/>
      <c r="D94" s="278"/>
      <c r="E94" s="278"/>
      <c r="F94" s="278"/>
      <c r="G94" s="278"/>
      <c r="H94" s="278"/>
      <c r="I94" s="296"/>
      <c r="J94" s="296"/>
      <c r="K94" s="296"/>
      <c r="L94" s="296"/>
      <c r="M94" s="296"/>
      <c r="N94" s="296"/>
      <c r="O94" s="296"/>
      <c r="P94" s="296"/>
      <c r="Q94" s="296"/>
    </row>
    <row r="95" spans="2:17" ht="15.75" customHeight="1" hidden="1" thickBot="1">
      <c r="B95" s="278"/>
      <c r="C95" s="278"/>
      <c r="D95" s="278"/>
      <c r="E95" s="278"/>
      <c r="F95" s="278"/>
      <c r="G95" s="278"/>
      <c r="H95" s="278"/>
      <c r="I95" s="296"/>
      <c r="J95" s="296"/>
      <c r="K95" s="296"/>
      <c r="L95" s="296"/>
      <c r="M95" s="296"/>
      <c r="N95" s="296"/>
      <c r="O95" s="296"/>
      <c r="P95" s="296"/>
      <c r="Q95" s="296"/>
    </row>
    <row r="96" spans="2:17" ht="15" customHeight="1" hidden="1">
      <c r="B96" s="278"/>
      <c r="C96" s="278"/>
      <c r="D96" s="278"/>
      <c r="E96" s="278"/>
      <c r="F96" s="278"/>
      <c r="G96" s="278"/>
      <c r="H96" s="278"/>
      <c r="I96" s="296"/>
      <c r="J96" s="296"/>
      <c r="K96" s="296"/>
      <c r="L96" s="296"/>
      <c r="M96" s="296"/>
      <c r="N96" s="296"/>
      <c r="O96" s="296"/>
      <c r="P96" s="296"/>
      <c r="Q96" s="296"/>
    </row>
    <row r="97" spans="2:17" ht="15" customHeight="1" hidden="1">
      <c r="B97" s="278"/>
      <c r="C97" s="278"/>
      <c r="D97" s="278"/>
      <c r="E97" s="278"/>
      <c r="F97" s="278"/>
      <c r="G97" s="278"/>
      <c r="H97" s="278"/>
      <c r="I97" s="296"/>
      <c r="J97" s="296"/>
      <c r="K97" s="296"/>
      <c r="L97" s="296"/>
      <c r="M97" s="296"/>
      <c r="N97" s="296"/>
      <c r="O97" s="296"/>
      <c r="P97" s="296"/>
      <c r="Q97" s="296"/>
    </row>
    <row r="98" spans="2:17" ht="15" customHeight="1" hidden="1">
      <c r="B98" s="278"/>
      <c r="C98" s="278"/>
      <c r="D98" s="278"/>
      <c r="E98" s="278"/>
      <c r="F98" s="278"/>
      <c r="G98" s="278"/>
      <c r="H98" s="278"/>
      <c r="I98" s="296"/>
      <c r="J98" s="296"/>
      <c r="K98" s="296"/>
      <c r="L98" s="296"/>
      <c r="M98" s="296"/>
      <c r="N98" s="296"/>
      <c r="O98" s="296"/>
      <c r="P98" s="296"/>
      <c r="Q98" s="296"/>
    </row>
    <row r="99" spans="2:17" ht="15.75" customHeight="1" hidden="1" thickBot="1">
      <c r="B99" s="278"/>
      <c r="C99" s="278"/>
      <c r="D99" s="278"/>
      <c r="E99" s="278"/>
      <c r="F99" s="278"/>
      <c r="G99" s="278"/>
      <c r="H99" s="278"/>
      <c r="I99" s="296"/>
      <c r="J99" s="296"/>
      <c r="K99" s="296"/>
      <c r="L99" s="296"/>
      <c r="M99" s="296"/>
      <c r="N99" s="296"/>
      <c r="O99" s="296"/>
      <c r="P99" s="296"/>
      <c r="Q99" s="296"/>
    </row>
    <row r="100" spans="2:17" ht="15" customHeight="1" hidden="1">
      <c r="B100" s="278"/>
      <c r="C100" s="278"/>
      <c r="D100" s="278"/>
      <c r="E100" s="278"/>
      <c r="F100" s="278"/>
      <c r="G100" s="278"/>
      <c r="H100" s="278"/>
      <c r="I100" s="296"/>
      <c r="J100" s="296"/>
      <c r="K100" s="296"/>
      <c r="L100" s="296"/>
      <c r="M100" s="296"/>
      <c r="N100" s="296"/>
      <c r="O100" s="296"/>
      <c r="P100" s="296"/>
      <c r="Q100" s="296"/>
    </row>
    <row r="101" spans="2:17" ht="65.25" customHeight="1" hidden="1">
      <c r="B101" s="278"/>
      <c r="C101" s="278"/>
      <c r="D101" s="278"/>
      <c r="E101" s="278"/>
      <c r="F101" s="278"/>
      <c r="G101" s="278"/>
      <c r="H101" s="278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2" spans="2:17" ht="15" customHeight="1" hidden="1" thickBot="1">
      <c r="B102" s="278"/>
      <c r="C102" s="278"/>
      <c r="D102" s="278"/>
      <c r="E102" s="278"/>
      <c r="F102" s="278"/>
      <c r="G102" s="278"/>
      <c r="H102" s="278"/>
      <c r="I102" s="296"/>
      <c r="J102" s="296"/>
      <c r="K102" s="296"/>
      <c r="L102" s="296"/>
      <c r="M102" s="296"/>
      <c r="N102" s="296"/>
      <c r="O102" s="296"/>
      <c r="P102" s="296"/>
      <c r="Q102" s="296"/>
    </row>
    <row r="103" spans="2:17" ht="15.75" customHeight="1" hidden="1" thickBot="1">
      <c r="B103" s="278"/>
      <c r="C103" s="278"/>
      <c r="D103" s="278"/>
      <c r="E103" s="278"/>
      <c r="F103" s="278"/>
      <c r="G103" s="278"/>
      <c r="H103" s="278"/>
      <c r="I103" s="296"/>
      <c r="J103" s="296"/>
      <c r="K103" s="296"/>
      <c r="L103" s="296"/>
      <c r="M103" s="296"/>
      <c r="N103" s="296"/>
      <c r="O103" s="296"/>
      <c r="P103" s="296"/>
      <c r="Q103" s="296"/>
    </row>
    <row r="104" spans="2:17" ht="15.75" customHeight="1" hidden="1" thickBot="1">
      <c r="B104" s="278"/>
      <c r="C104" s="278"/>
      <c r="D104" s="278"/>
      <c r="E104" s="278"/>
      <c r="F104" s="278"/>
      <c r="G104" s="278"/>
      <c r="H104" s="278"/>
      <c r="I104" s="296"/>
      <c r="J104" s="296"/>
      <c r="K104" s="296"/>
      <c r="L104" s="296"/>
      <c r="M104" s="296"/>
      <c r="N104" s="296"/>
      <c r="O104" s="296"/>
      <c r="P104" s="296"/>
      <c r="Q104" s="296"/>
    </row>
    <row r="105" spans="2:17" ht="15.75" customHeight="1" hidden="1" thickBot="1">
      <c r="B105" s="278"/>
      <c r="C105" s="278"/>
      <c r="D105" s="278"/>
      <c r="E105" s="278"/>
      <c r="F105" s="278"/>
      <c r="G105" s="278"/>
      <c r="H105" s="278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6" spans="2:17" ht="15" customHeight="1" hidden="1">
      <c r="B106" s="278"/>
      <c r="C106" s="278"/>
      <c r="D106" s="278"/>
      <c r="E106" s="278"/>
      <c r="F106" s="278"/>
      <c r="G106" s="278"/>
      <c r="H106" s="278"/>
      <c r="I106" s="296"/>
      <c r="J106" s="296"/>
      <c r="K106" s="296"/>
      <c r="L106" s="296"/>
      <c r="M106" s="296"/>
      <c r="N106" s="296"/>
      <c r="O106" s="296"/>
      <c r="P106" s="296"/>
      <c r="Q106" s="296"/>
    </row>
    <row r="107" spans="2:17" ht="15" customHeight="1" hidden="1">
      <c r="B107" s="278"/>
      <c r="C107" s="278"/>
      <c r="D107" s="278"/>
      <c r="E107" s="278"/>
      <c r="F107" s="278"/>
      <c r="G107" s="278"/>
      <c r="H107" s="278"/>
      <c r="I107" s="296"/>
      <c r="J107" s="296"/>
      <c r="K107" s="296"/>
      <c r="L107" s="296"/>
      <c r="M107" s="296"/>
      <c r="N107" s="296"/>
      <c r="O107" s="296"/>
      <c r="P107" s="296"/>
      <c r="Q107" s="296"/>
    </row>
    <row r="108" spans="2:17" ht="15" customHeight="1" hidden="1">
      <c r="B108" s="278"/>
      <c r="C108" s="278"/>
      <c r="D108" s="278"/>
      <c r="E108" s="278"/>
      <c r="F108" s="278"/>
      <c r="G108" s="278"/>
      <c r="H108" s="278"/>
      <c r="I108" s="296"/>
      <c r="J108" s="296"/>
      <c r="K108" s="296"/>
      <c r="L108" s="296"/>
      <c r="M108" s="296"/>
      <c r="N108" s="296"/>
      <c r="O108" s="296"/>
      <c r="P108" s="296"/>
      <c r="Q108" s="296"/>
    </row>
    <row r="109" spans="2:17" ht="15.75" customHeight="1" hidden="1" thickBot="1">
      <c r="B109" s="278"/>
      <c r="C109" s="278"/>
      <c r="D109" s="278"/>
      <c r="E109" s="278"/>
      <c r="F109" s="278"/>
      <c r="G109" s="278"/>
      <c r="H109" s="278"/>
      <c r="I109" s="296"/>
      <c r="J109" s="296"/>
      <c r="K109" s="296"/>
      <c r="L109" s="296"/>
      <c r="M109" s="296"/>
      <c r="N109" s="296"/>
      <c r="O109" s="296"/>
      <c r="P109" s="296"/>
      <c r="Q109" s="296"/>
    </row>
    <row r="110" spans="2:17" ht="15" customHeight="1" hidden="1">
      <c r="B110" s="278"/>
      <c r="C110" s="278"/>
      <c r="D110" s="278"/>
      <c r="E110" s="278"/>
      <c r="F110" s="278"/>
      <c r="G110" s="278"/>
      <c r="H110" s="278"/>
      <c r="I110" s="296"/>
      <c r="J110" s="296"/>
      <c r="K110" s="296"/>
      <c r="L110" s="296"/>
      <c r="M110" s="296"/>
      <c r="N110" s="296"/>
      <c r="O110" s="296"/>
      <c r="P110" s="296"/>
      <c r="Q110" s="296"/>
    </row>
    <row r="111" spans="2:17" ht="65.25" customHeight="1" hidden="1">
      <c r="B111" s="278"/>
      <c r="C111" s="278"/>
      <c r="D111" s="278"/>
      <c r="E111" s="278"/>
      <c r="F111" s="278"/>
      <c r="G111" s="278"/>
      <c r="H111" s="278"/>
      <c r="I111" s="296"/>
      <c r="J111" s="296"/>
      <c r="K111" s="296"/>
      <c r="L111" s="296"/>
      <c r="M111" s="296"/>
      <c r="N111" s="296"/>
      <c r="O111" s="296"/>
      <c r="P111" s="296"/>
      <c r="Q111" s="296"/>
    </row>
    <row r="112" spans="2:17" ht="15" customHeight="1" hidden="1" thickBot="1">
      <c r="B112" s="278"/>
      <c r="C112" s="278"/>
      <c r="D112" s="278"/>
      <c r="E112" s="278"/>
      <c r="F112" s="278"/>
      <c r="G112" s="278"/>
      <c r="H112" s="278"/>
      <c r="I112" s="296"/>
      <c r="J112" s="296"/>
      <c r="K112" s="296"/>
      <c r="L112" s="296"/>
      <c r="M112" s="296"/>
      <c r="N112" s="296"/>
      <c r="O112" s="296"/>
      <c r="P112" s="296"/>
      <c r="Q112" s="296"/>
    </row>
    <row r="113" spans="2:17" ht="15.75" customHeight="1" hidden="1" thickBot="1">
      <c r="B113" s="278"/>
      <c r="C113" s="278"/>
      <c r="D113" s="278"/>
      <c r="E113" s="278"/>
      <c r="F113" s="278"/>
      <c r="G113" s="278"/>
      <c r="H113" s="278"/>
      <c r="I113" s="296"/>
      <c r="J113" s="296"/>
      <c r="K113" s="296"/>
      <c r="L113" s="296"/>
      <c r="M113" s="296"/>
      <c r="N113" s="296"/>
      <c r="O113" s="296"/>
      <c r="P113" s="296"/>
      <c r="Q113" s="296"/>
    </row>
    <row r="114" spans="2:17" ht="15.75" customHeight="1" hidden="1" thickBot="1">
      <c r="B114" s="278"/>
      <c r="C114" s="278"/>
      <c r="D114" s="278"/>
      <c r="E114" s="278"/>
      <c r="F114" s="278"/>
      <c r="G114" s="278"/>
      <c r="H114" s="278"/>
      <c r="I114" s="296"/>
      <c r="J114" s="296"/>
      <c r="K114" s="296"/>
      <c r="L114" s="296"/>
      <c r="M114" s="296"/>
      <c r="N114" s="296"/>
      <c r="O114" s="296"/>
      <c r="P114" s="296"/>
      <c r="Q114" s="296"/>
    </row>
    <row r="115" spans="2:17" ht="15.75" customHeight="1" hidden="1" thickBot="1">
      <c r="B115" s="278"/>
      <c r="C115" s="278"/>
      <c r="D115" s="278"/>
      <c r="E115" s="278"/>
      <c r="F115" s="278"/>
      <c r="G115" s="278"/>
      <c r="H115" s="278"/>
      <c r="I115" s="296"/>
      <c r="J115" s="296"/>
      <c r="K115" s="296"/>
      <c r="L115" s="296"/>
      <c r="M115" s="296"/>
      <c r="N115" s="296"/>
      <c r="O115" s="296"/>
      <c r="P115" s="296"/>
      <c r="Q115" s="296"/>
    </row>
    <row r="116" spans="2:17" ht="15" customHeight="1" hidden="1">
      <c r="B116" s="278"/>
      <c r="C116" s="278"/>
      <c r="D116" s="278"/>
      <c r="E116" s="278"/>
      <c r="F116" s="278"/>
      <c r="G116" s="278"/>
      <c r="H116" s="278"/>
      <c r="I116" s="296"/>
      <c r="J116" s="296"/>
      <c r="K116" s="296"/>
      <c r="L116" s="296"/>
      <c r="M116" s="296"/>
      <c r="N116" s="296"/>
      <c r="O116" s="296"/>
      <c r="P116" s="296"/>
      <c r="Q116" s="296"/>
    </row>
    <row r="117" spans="2:17" ht="15" customHeight="1" hidden="1">
      <c r="B117" s="278"/>
      <c r="C117" s="278"/>
      <c r="D117" s="278"/>
      <c r="E117" s="278"/>
      <c r="F117" s="278"/>
      <c r="G117" s="278"/>
      <c r="H117" s="278"/>
      <c r="I117" s="296"/>
      <c r="J117" s="296"/>
      <c r="K117" s="296"/>
      <c r="L117" s="296"/>
      <c r="M117" s="296"/>
      <c r="N117" s="296"/>
      <c r="O117" s="296"/>
      <c r="P117" s="296"/>
      <c r="Q117" s="296"/>
    </row>
    <row r="118" spans="2:17" ht="15.75" customHeight="1" hidden="1" thickBot="1">
      <c r="B118" s="278"/>
      <c r="C118" s="278"/>
      <c r="D118" s="278"/>
      <c r="E118" s="278"/>
      <c r="F118" s="278"/>
      <c r="G118" s="278"/>
      <c r="H118" s="278"/>
      <c r="I118" s="296"/>
      <c r="J118" s="296"/>
      <c r="K118" s="296"/>
      <c r="L118" s="296"/>
      <c r="M118" s="296"/>
      <c r="N118" s="296"/>
      <c r="O118" s="296"/>
      <c r="P118" s="296"/>
      <c r="Q118" s="296"/>
    </row>
    <row r="119" spans="2:17" ht="15" customHeight="1" hidden="1">
      <c r="B119" s="278"/>
      <c r="C119" s="278"/>
      <c r="D119" s="278"/>
      <c r="E119" s="278"/>
      <c r="F119" s="278"/>
      <c r="G119" s="278"/>
      <c r="H119" s="278"/>
      <c r="I119" s="296"/>
      <c r="J119" s="296"/>
      <c r="K119" s="296"/>
      <c r="L119" s="296"/>
      <c r="M119" s="296"/>
      <c r="N119" s="296"/>
      <c r="O119" s="296"/>
      <c r="P119" s="296"/>
      <c r="Q119" s="296"/>
    </row>
    <row r="120" spans="2:17" ht="65.25" customHeight="1" hidden="1">
      <c r="B120" s="278"/>
      <c r="C120" s="278"/>
      <c r="D120" s="278"/>
      <c r="E120" s="278"/>
      <c r="F120" s="278"/>
      <c r="G120" s="278"/>
      <c r="H120" s="278"/>
      <c r="I120" s="296"/>
      <c r="J120" s="296"/>
      <c r="K120" s="296"/>
      <c r="L120" s="296"/>
      <c r="M120" s="296"/>
      <c r="N120" s="296"/>
      <c r="O120" s="296"/>
      <c r="P120" s="296"/>
      <c r="Q120" s="296"/>
    </row>
    <row r="121" spans="2:17" ht="15" customHeight="1" hidden="1" thickBot="1">
      <c r="B121" s="278"/>
      <c r="C121" s="278"/>
      <c r="D121" s="278"/>
      <c r="E121" s="278"/>
      <c r="F121" s="278"/>
      <c r="G121" s="278"/>
      <c r="H121" s="278"/>
      <c r="I121" s="296"/>
      <c r="J121" s="296"/>
      <c r="K121" s="296"/>
      <c r="L121" s="296"/>
      <c r="M121" s="296"/>
      <c r="N121" s="296"/>
      <c r="O121" s="296"/>
      <c r="P121" s="296"/>
      <c r="Q121" s="296"/>
    </row>
    <row r="122" spans="2:17" ht="15.75" customHeight="1" hidden="1" thickBot="1">
      <c r="B122" s="278"/>
      <c r="C122" s="278"/>
      <c r="D122" s="278"/>
      <c r="E122" s="278"/>
      <c r="F122" s="278"/>
      <c r="G122" s="278"/>
      <c r="H122" s="278"/>
      <c r="I122" s="296"/>
      <c r="J122" s="296"/>
      <c r="K122" s="296"/>
      <c r="L122" s="296"/>
      <c r="M122" s="296"/>
      <c r="N122" s="296"/>
      <c r="O122" s="296"/>
      <c r="P122" s="296"/>
      <c r="Q122" s="296"/>
    </row>
    <row r="123" spans="2:17" ht="15" customHeight="1" hidden="1">
      <c r="B123" s="278"/>
      <c r="C123" s="278"/>
      <c r="D123" s="278"/>
      <c r="E123" s="278"/>
      <c r="F123" s="278"/>
      <c r="G123" s="278"/>
      <c r="H123" s="278"/>
      <c r="I123" s="296"/>
      <c r="J123" s="296"/>
      <c r="K123" s="296"/>
      <c r="L123" s="296"/>
      <c r="M123" s="296"/>
      <c r="N123" s="296"/>
      <c r="O123" s="296"/>
      <c r="P123" s="296"/>
      <c r="Q123" s="296"/>
    </row>
    <row r="124" spans="2:17" ht="15" customHeight="1" hidden="1">
      <c r="B124" s="278"/>
      <c r="C124" s="278"/>
      <c r="D124" s="278"/>
      <c r="E124" s="278"/>
      <c r="F124" s="278"/>
      <c r="G124" s="278"/>
      <c r="H124" s="278"/>
      <c r="I124" s="296"/>
      <c r="J124" s="296"/>
      <c r="K124" s="296"/>
      <c r="L124" s="296"/>
      <c r="M124" s="296"/>
      <c r="N124" s="296"/>
      <c r="O124" s="296"/>
      <c r="P124" s="296"/>
      <c r="Q124" s="296"/>
    </row>
    <row r="125" spans="2:17" ht="15" customHeight="1" hidden="1">
      <c r="B125" s="278"/>
      <c r="C125" s="278"/>
      <c r="D125" s="278"/>
      <c r="E125" s="278"/>
      <c r="F125" s="278"/>
      <c r="G125" s="278"/>
      <c r="H125" s="278"/>
      <c r="I125" s="296"/>
      <c r="J125" s="296"/>
      <c r="K125" s="296"/>
      <c r="L125" s="296"/>
      <c r="M125" s="296"/>
      <c r="N125" s="296"/>
      <c r="O125" s="296"/>
      <c r="P125" s="296"/>
      <c r="Q125" s="296"/>
    </row>
    <row r="126" spans="2:17" ht="15" customHeight="1" hidden="1">
      <c r="B126" s="278"/>
      <c r="C126" s="278"/>
      <c r="D126" s="278"/>
      <c r="E126" s="278"/>
      <c r="F126" s="278"/>
      <c r="G126" s="278"/>
      <c r="H126" s="278"/>
      <c r="I126" s="296"/>
      <c r="J126" s="296"/>
      <c r="K126" s="296"/>
      <c r="L126" s="296"/>
      <c r="M126" s="296"/>
      <c r="N126" s="296"/>
      <c r="O126" s="296"/>
      <c r="P126" s="296"/>
      <c r="Q126" s="296"/>
    </row>
    <row r="127" spans="2:17" ht="15.75" customHeight="1" hidden="1" thickBot="1">
      <c r="B127" s="278"/>
      <c r="C127" s="278"/>
      <c r="D127" s="278"/>
      <c r="E127" s="278"/>
      <c r="F127" s="278"/>
      <c r="G127" s="278"/>
      <c r="H127" s="278"/>
      <c r="I127" s="296"/>
      <c r="J127" s="296"/>
      <c r="K127" s="296"/>
      <c r="L127" s="296"/>
      <c r="M127" s="296"/>
      <c r="N127" s="296"/>
      <c r="O127" s="296"/>
      <c r="P127" s="296"/>
      <c r="Q127" s="296"/>
    </row>
    <row r="128" spans="2:17" ht="15.75" customHeight="1" hidden="1" thickBot="1">
      <c r="B128" s="278"/>
      <c r="C128" s="278"/>
      <c r="D128" s="278"/>
      <c r="E128" s="278"/>
      <c r="F128" s="278"/>
      <c r="G128" s="278"/>
      <c r="H128" s="278"/>
      <c r="I128" s="296"/>
      <c r="J128" s="296"/>
      <c r="K128" s="296"/>
      <c r="L128" s="296"/>
      <c r="M128" s="296"/>
      <c r="N128" s="296"/>
      <c r="O128" s="296"/>
      <c r="P128" s="296"/>
      <c r="Q128" s="296"/>
    </row>
    <row r="129" spans="2:17" ht="15" customHeight="1" hidden="1">
      <c r="B129" s="278"/>
      <c r="C129" s="278"/>
      <c r="D129" s="278"/>
      <c r="E129" s="278"/>
      <c r="F129" s="278"/>
      <c r="G129" s="278"/>
      <c r="H129" s="278"/>
      <c r="I129" s="296"/>
      <c r="J129" s="296"/>
      <c r="K129" s="296"/>
      <c r="L129" s="296"/>
      <c r="M129" s="296"/>
      <c r="N129" s="296"/>
      <c r="O129" s="296"/>
      <c r="P129" s="296"/>
      <c r="Q129" s="296"/>
    </row>
    <row r="130" spans="2:17" ht="15" customHeight="1" hidden="1">
      <c r="B130" s="278"/>
      <c r="C130" s="278"/>
      <c r="D130" s="278"/>
      <c r="E130" s="278"/>
      <c r="F130" s="278"/>
      <c r="G130" s="278"/>
      <c r="H130" s="278"/>
      <c r="I130" s="296"/>
      <c r="J130" s="296"/>
      <c r="K130" s="296"/>
      <c r="L130" s="296"/>
      <c r="M130" s="296"/>
      <c r="N130" s="296"/>
      <c r="O130" s="296"/>
      <c r="P130" s="296"/>
      <c r="Q130" s="296"/>
    </row>
    <row r="131" spans="2:17" ht="15.75" customHeight="1" hidden="1" thickBot="1">
      <c r="B131" s="278"/>
      <c r="C131" s="278"/>
      <c r="D131" s="278"/>
      <c r="E131" s="278"/>
      <c r="F131" s="278"/>
      <c r="G131" s="278"/>
      <c r="H131" s="278"/>
      <c r="I131" s="296"/>
      <c r="J131" s="296"/>
      <c r="K131" s="296"/>
      <c r="L131" s="296"/>
      <c r="M131" s="296"/>
      <c r="N131" s="296"/>
      <c r="O131" s="296"/>
      <c r="P131" s="296"/>
      <c r="Q131" s="296"/>
    </row>
    <row r="132" spans="2:17" ht="15" customHeight="1" hidden="1">
      <c r="B132" s="278"/>
      <c r="C132" s="278"/>
      <c r="D132" s="278"/>
      <c r="E132" s="278"/>
      <c r="F132" s="278"/>
      <c r="G132" s="278"/>
      <c r="H132" s="278"/>
      <c r="I132" s="296"/>
      <c r="J132" s="296"/>
      <c r="K132" s="296"/>
      <c r="L132" s="296"/>
      <c r="M132" s="296"/>
      <c r="N132" s="296"/>
      <c r="O132" s="296"/>
      <c r="P132" s="296"/>
      <c r="Q132" s="296"/>
    </row>
    <row r="133" spans="2:17" ht="65.25" customHeight="1" hidden="1">
      <c r="B133" s="278"/>
      <c r="C133" s="278"/>
      <c r="D133" s="278"/>
      <c r="E133" s="278"/>
      <c r="F133" s="278"/>
      <c r="G133" s="278"/>
      <c r="H133" s="278"/>
      <c r="I133" s="296"/>
      <c r="J133" s="296"/>
      <c r="K133" s="296"/>
      <c r="L133" s="296"/>
      <c r="M133" s="296"/>
      <c r="N133" s="296"/>
      <c r="O133" s="296"/>
      <c r="P133" s="296"/>
      <c r="Q133" s="296"/>
    </row>
    <row r="134" spans="2:17" ht="15" customHeight="1" hidden="1" thickBot="1">
      <c r="B134" s="278"/>
      <c r="C134" s="278"/>
      <c r="D134" s="278"/>
      <c r="E134" s="278"/>
      <c r="F134" s="278"/>
      <c r="G134" s="278"/>
      <c r="H134" s="278"/>
      <c r="I134" s="296"/>
      <c r="J134" s="296"/>
      <c r="K134" s="296"/>
      <c r="L134" s="296"/>
      <c r="M134" s="296"/>
      <c r="N134" s="296"/>
      <c r="O134" s="296"/>
      <c r="P134" s="296"/>
      <c r="Q134" s="296"/>
    </row>
    <row r="135" spans="2:17" ht="15.75" customHeight="1" hidden="1" thickBot="1">
      <c r="B135" s="278"/>
      <c r="C135" s="278"/>
      <c r="D135" s="278"/>
      <c r="E135" s="278"/>
      <c r="F135" s="278"/>
      <c r="G135" s="278"/>
      <c r="H135" s="278"/>
      <c r="I135" s="296"/>
      <c r="J135" s="296"/>
      <c r="K135" s="296"/>
      <c r="L135" s="296"/>
      <c r="M135" s="296"/>
      <c r="N135" s="296"/>
      <c r="O135" s="296"/>
      <c r="P135" s="296"/>
      <c r="Q135" s="296"/>
    </row>
    <row r="136" spans="2:17" ht="15.75" customHeight="1" hidden="1" thickBot="1">
      <c r="B136" s="278"/>
      <c r="C136" s="278"/>
      <c r="D136" s="278"/>
      <c r="E136" s="278"/>
      <c r="F136" s="278"/>
      <c r="G136" s="278"/>
      <c r="H136" s="278"/>
      <c r="I136" s="296"/>
      <c r="J136" s="296"/>
      <c r="K136" s="296"/>
      <c r="L136" s="296"/>
      <c r="M136" s="296"/>
      <c r="N136" s="296"/>
      <c r="O136" s="296"/>
      <c r="P136" s="296"/>
      <c r="Q136" s="296"/>
    </row>
    <row r="137" spans="2:17" ht="15.75" customHeight="1" hidden="1" thickBot="1">
      <c r="B137" s="278"/>
      <c r="C137" s="278"/>
      <c r="D137" s="278"/>
      <c r="E137" s="278"/>
      <c r="F137" s="278"/>
      <c r="G137" s="278"/>
      <c r="H137" s="278"/>
      <c r="I137" s="296"/>
      <c r="J137" s="296"/>
      <c r="K137" s="296"/>
      <c r="L137" s="296"/>
      <c r="M137" s="296"/>
      <c r="N137" s="296"/>
      <c r="O137" s="296"/>
      <c r="P137" s="296"/>
      <c r="Q137" s="296"/>
    </row>
    <row r="138" spans="2:17" ht="15" customHeight="1" hidden="1">
      <c r="B138" s="278"/>
      <c r="C138" s="278"/>
      <c r="D138" s="278"/>
      <c r="E138" s="278"/>
      <c r="F138" s="278"/>
      <c r="G138" s="278"/>
      <c r="H138" s="278"/>
      <c r="I138" s="296"/>
      <c r="J138" s="296"/>
      <c r="K138" s="296"/>
      <c r="L138" s="296"/>
      <c r="M138" s="296"/>
      <c r="N138" s="296"/>
      <c r="O138" s="296"/>
      <c r="P138" s="296"/>
      <c r="Q138" s="296"/>
    </row>
    <row r="139" spans="2:17" ht="15" customHeight="1" hidden="1">
      <c r="B139" s="278"/>
      <c r="C139" s="278"/>
      <c r="D139" s="278"/>
      <c r="E139" s="278"/>
      <c r="F139" s="278"/>
      <c r="G139" s="278"/>
      <c r="H139" s="278"/>
      <c r="I139" s="296"/>
      <c r="J139" s="296"/>
      <c r="K139" s="296"/>
      <c r="L139" s="296"/>
      <c r="M139" s="296"/>
      <c r="N139" s="296"/>
      <c r="O139" s="296"/>
      <c r="P139" s="296"/>
      <c r="Q139" s="296"/>
    </row>
    <row r="140" spans="2:17" ht="15.75" customHeight="1" hidden="1" thickBot="1">
      <c r="B140" s="278"/>
      <c r="C140" s="278"/>
      <c r="D140" s="278"/>
      <c r="E140" s="278"/>
      <c r="F140" s="278"/>
      <c r="G140" s="278"/>
      <c r="H140" s="278"/>
      <c r="I140" s="296"/>
      <c r="J140" s="296"/>
      <c r="K140" s="296"/>
      <c r="L140" s="296"/>
      <c r="M140" s="296"/>
      <c r="N140" s="296"/>
      <c r="O140" s="296"/>
      <c r="P140" s="296"/>
      <c r="Q140" s="296"/>
    </row>
    <row r="141" spans="2:17" ht="15" customHeight="1" hidden="1">
      <c r="B141" s="278"/>
      <c r="C141" s="278"/>
      <c r="D141" s="278"/>
      <c r="E141" s="278"/>
      <c r="F141" s="278"/>
      <c r="G141" s="278"/>
      <c r="H141" s="278"/>
      <c r="I141" s="296"/>
      <c r="J141" s="296"/>
      <c r="K141" s="296"/>
      <c r="L141" s="296"/>
      <c r="M141" s="296"/>
      <c r="N141" s="296"/>
      <c r="O141" s="296"/>
      <c r="P141" s="296"/>
      <c r="Q141" s="296"/>
    </row>
    <row r="142" spans="2:17" ht="65.25" customHeight="1" hidden="1">
      <c r="B142" s="278"/>
      <c r="C142" s="278"/>
      <c r="D142" s="278"/>
      <c r="E142" s="278"/>
      <c r="F142" s="278"/>
      <c r="G142" s="278"/>
      <c r="H142" s="278"/>
      <c r="I142" s="296"/>
      <c r="J142" s="296"/>
      <c r="K142" s="296"/>
      <c r="L142" s="296"/>
      <c r="M142" s="296"/>
      <c r="N142" s="296"/>
      <c r="O142" s="296"/>
      <c r="P142" s="296"/>
      <c r="Q142" s="296"/>
    </row>
    <row r="143" spans="2:17" ht="15" customHeight="1" hidden="1" thickBot="1">
      <c r="B143" s="278"/>
      <c r="C143" s="278"/>
      <c r="D143" s="278"/>
      <c r="E143" s="278"/>
      <c r="F143" s="278"/>
      <c r="G143" s="278"/>
      <c r="H143" s="278"/>
      <c r="I143" s="296"/>
      <c r="J143" s="296"/>
      <c r="K143" s="296"/>
      <c r="L143" s="296"/>
      <c r="M143" s="296"/>
      <c r="N143" s="296"/>
      <c r="O143" s="296"/>
      <c r="P143" s="296"/>
      <c r="Q143" s="296"/>
    </row>
    <row r="144" spans="2:17" ht="15.75" customHeight="1" hidden="1" thickBot="1">
      <c r="B144" s="278"/>
      <c r="C144" s="278"/>
      <c r="D144" s="278"/>
      <c r="E144" s="278"/>
      <c r="F144" s="278"/>
      <c r="G144" s="278"/>
      <c r="H144" s="278"/>
      <c r="I144" s="296"/>
      <c r="J144" s="296"/>
      <c r="K144" s="296"/>
      <c r="L144" s="296"/>
      <c r="M144" s="296"/>
      <c r="N144" s="296"/>
      <c r="O144" s="296"/>
      <c r="P144" s="296"/>
      <c r="Q144" s="296"/>
    </row>
    <row r="145" spans="2:17" ht="15" customHeight="1" hidden="1">
      <c r="B145" s="278"/>
      <c r="C145" s="278"/>
      <c r="D145" s="278"/>
      <c r="E145" s="278"/>
      <c r="F145" s="278"/>
      <c r="G145" s="278"/>
      <c r="H145" s="278"/>
      <c r="I145" s="296"/>
      <c r="J145" s="296"/>
      <c r="K145" s="296"/>
      <c r="L145" s="296"/>
      <c r="M145" s="296"/>
      <c r="N145" s="296"/>
      <c r="O145" s="296"/>
      <c r="P145" s="296"/>
      <c r="Q145" s="296"/>
    </row>
    <row r="146" spans="2:17" ht="15.75" customHeight="1" hidden="1" thickBot="1">
      <c r="B146" s="278"/>
      <c r="C146" s="278"/>
      <c r="D146" s="278"/>
      <c r="E146" s="278"/>
      <c r="F146" s="278"/>
      <c r="G146" s="278"/>
      <c r="H146" s="278"/>
      <c r="I146" s="296"/>
      <c r="J146" s="296"/>
      <c r="K146" s="296"/>
      <c r="L146" s="296"/>
      <c r="M146" s="296"/>
      <c r="N146" s="296"/>
      <c r="O146" s="296"/>
      <c r="P146" s="296"/>
      <c r="Q146" s="296"/>
    </row>
    <row r="147" spans="2:17" ht="15.75" customHeight="1" hidden="1" thickBot="1">
      <c r="B147" s="278"/>
      <c r="C147" s="278"/>
      <c r="D147" s="278"/>
      <c r="E147" s="278"/>
      <c r="F147" s="278"/>
      <c r="G147" s="278"/>
      <c r="H147" s="278"/>
      <c r="I147" s="296"/>
      <c r="J147" s="296"/>
      <c r="K147" s="296"/>
      <c r="L147" s="296"/>
      <c r="M147" s="296"/>
      <c r="N147" s="296"/>
      <c r="O147" s="296"/>
      <c r="P147" s="296"/>
      <c r="Q147" s="296"/>
    </row>
    <row r="148" spans="2:17" ht="15" customHeight="1" hidden="1">
      <c r="B148" s="278"/>
      <c r="C148" s="278"/>
      <c r="D148" s="278"/>
      <c r="E148" s="278"/>
      <c r="F148" s="278"/>
      <c r="G148" s="278"/>
      <c r="H148" s="278"/>
      <c r="I148" s="296"/>
      <c r="J148" s="296"/>
      <c r="K148" s="296"/>
      <c r="L148" s="296"/>
      <c r="M148" s="296"/>
      <c r="N148" s="296"/>
      <c r="O148" s="296"/>
      <c r="P148" s="296"/>
      <c r="Q148" s="296"/>
    </row>
    <row r="149" spans="2:17" ht="15.75">
      <c r="B149" s="278"/>
      <c r="C149" s="278"/>
      <c r="D149" s="278"/>
      <c r="E149" s="278"/>
      <c r="F149" s="278"/>
      <c r="G149" s="278"/>
      <c r="H149" s="278"/>
      <c r="I149" s="296"/>
      <c r="J149" s="296"/>
      <c r="K149" s="296"/>
      <c r="L149" s="296"/>
      <c r="M149" s="296"/>
      <c r="N149" s="296"/>
      <c r="O149" s="296"/>
      <c r="P149" s="296"/>
      <c r="Q149" s="296"/>
    </row>
    <row r="150" spans="2:17" ht="15.75">
      <c r="B150" s="278"/>
      <c r="C150" s="278"/>
      <c r="D150" s="278"/>
      <c r="E150" s="278"/>
      <c r="F150" s="278"/>
      <c r="G150" s="278"/>
      <c r="H150" s="278"/>
      <c r="I150" s="296"/>
      <c r="J150" s="296"/>
      <c r="K150" s="296"/>
      <c r="L150" s="296"/>
      <c r="M150" s="296"/>
      <c r="N150" s="296"/>
      <c r="O150" s="296"/>
      <c r="P150" s="296"/>
      <c r="Q150" s="296"/>
    </row>
    <row r="151" spans="2:17" ht="15.75">
      <c r="B151" s="278"/>
      <c r="C151" s="278"/>
      <c r="D151" s="278"/>
      <c r="E151" s="278"/>
      <c r="F151" s="278"/>
      <c r="G151" s="278"/>
      <c r="H151" s="278"/>
      <c r="I151" s="296"/>
      <c r="J151" s="296"/>
      <c r="K151" s="296"/>
      <c r="L151" s="296"/>
      <c r="M151" s="296"/>
      <c r="N151" s="296"/>
      <c r="O151" s="296"/>
      <c r="P151" s="296"/>
      <c r="Q151" s="296"/>
    </row>
    <row r="152" spans="2:17" ht="15.75">
      <c r="B152" s="278"/>
      <c r="C152" s="278"/>
      <c r="D152" s="278"/>
      <c r="E152" s="278"/>
      <c r="F152" s="278"/>
      <c r="G152" s="278"/>
      <c r="H152" s="278"/>
      <c r="I152" s="296"/>
      <c r="J152" s="296"/>
      <c r="K152" s="296"/>
      <c r="L152" s="296"/>
      <c r="M152" s="296"/>
      <c r="N152" s="296"/>
      <c r="O152" s="296"/>
      <c r="P152" s="296"/>
      <c r="Q152" s="296"/>
    </row>
    <row r="153" spans="2:17" ht="15.75">
      <c r="B153" s="278"/>
      <c r="C153" s="278"/>
      <c r="D153" s="278"/>
      <c r="E153" s="278"/>
      <c r="F153" s="278"/>
      <c r="G153" s="278"/>
      <c r="H153" s="278"/>
      <c r="I153" s="296"/>
      <c r="J153" s="296"/>
      <c r="K153" s="296"/>
      <c r="L153" s="296"/>
      <c r="M153" s="296"/>
      <c r="N153" s="296"/>
      <c r="O153" s="296"/>
      <c r="P153" s="296"/>
      <c r="Q153" s="296"/>
    </row>
    <row r="154" spans="2:17" ht="15.75">
      <c r="B154" s="278"/>
      <c r="C154" s="278"/>
      <c r="D154" s="278"/>
      <c r="E154" s="278"/>
      <c r="F154" s="278"/>
      <c r="G154" s="278"/>
      <c r="H154" s="278"/>
      <c r="I154" s="296"/>
      <c r="J154" s="296"/>
      <c r="K154" s="296"/>
      <c r="L154" s="296"/>
      <c r="M154" s="296"/>
      <c r="N154" s="296"/>
      <c r="O154" s="296"/>
      <c r="P154" s="296"/>
      <c r="Q154" s="296"/>
    </row>
    <row r="155" spans="2:17" ht="15.75">
      <c r="B155" s="278"/>
      <c r="C155" s="278"/>
      <c r="D155" s="278"/>
      <c r="E155" s="278"/>
      <c r="F155" s="278"/>
      <c r="G155" s="278"/>
      <c r="H155" s="278"/>
      <c r="I155" s="296"/>
      <c r="J155" s="296"/>
      <c r="K155" s="296"/>
      <c r="L155" s="296"/>
      <c r="M155" s="296"/>
      <c r="N155" s="296"/>
      <c r="O155" s="296"/>
      <c r="P155" s="296"/>
      <c r="Q155" s="296"/>
    </row>
    <row r="156" spans="2:17" ht="15.75">
      <c r="B156" s="278"/>
      <c r="C156" s="278"/>
      <c r="D156" s="278"/>
      <c r="E156" s="278"/>
      <c r="F156" s="278"/>
      <c r="G156" s="278"/>
      <c r="H156" s="278"/>
      <c r="I156" s="296"/>
      <c r="J156" s="296"/>
      <c r="K156" s="296"/>
      <c r="L156" s="296"/>
      <c r="M156" s="296"/>
      <c r="N156" s="296"/>
      <c r="O156" s="296"/>
      <c r="P156" s="296"/>
      <c r="Q156" s="296"/>
    </row>
    <row r="157" spans="2:17" ht="15.75">
      <c r="B157" s="278"/>
      <c r="C157" s="278"/>
      <c r="D157" s="278"/>
      <c r="E157" s="278"/>
      <c r="F157" s="278"/>
      <c r="G157" s="278"/>
      <c r="H157" s="278"/>
      <c r="I157" s="296"/>
      <c r="J157" s="296"/>
      <c r="K157" s="296"/>
      <c r="L157" s="296"/>
      <c r="M157" s="296"/>
      <c r="N157" s="296"/>
      <c r="O157" s="296"/>
      <c r="P157" s="296"/>
      <c r="Q157" s="296"/>
    </row>
  </sheetData>
  <sheetProtection/>
  <mergeCells count="26">
    <mergeCell ref="B3:R3"/>
    <mergeCell ref="B34:B35"/>
    <mergeCell ref="B58:B59"/>
    <mergeCell ref="C58:D58"/>
    <mergeCell ref="E58:F58"/>
    <mergeCell ref="G58:H58"/>
    <mergeCell ref="I58:J58"/>
    <mergeCell ref="K58:K59"/>
    <mergeCell ref="P6:Q6"/>
    <mergeCell ref="B5:B7"/>
    <mergeCell ref="F5:H5"/>
    <mergeCell ref="I5:K5"/>
    <mergeCell ref="L5:N5"/>
    <mergeCell ref="O5:Q5"/>
    <mergeCell ref="M6:N6"/>
    <mergeCell ref="O6:O7"/>
    <mergeCell ref="P1:R1"/>
    <mergeCell ref="O4:Q4"/>
    <mergeCell ref="C5:E5"/>
    <mergeCell ref="C6:C7"/>
    <mergeCell ref="D6:E6"/>
    <mergeCell ref="F6:F7"/>
    <mergeCell ref="G6:H6"/>
    <mergeCell ref="I6:I7"/>
    <mergeCell ref="J6:K6"/>
    <mergeCell ref="L6:L7"/>
  </mergeCells>
  <printOptions/>
  <pageMargins left="0.42" right="0.28" top="0.38" bottom="0.27" header="0.31496062992125984" footer="0.31496062992125984"/>
  <pageSetup fitToHeight="0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I47"/>
  <sheetViews>
    <sheetView view="pageBreakPreview" zoomScale="70" zoomScaleSheetLayoutView="70" zoomScalePageLayoutView="0" workbookViewId="0" topLeftCell="A1">
      <selection activeCell="H7" sqref="H7"/>
    </sheetView>
  </sheetViews>
  <sheetFormatPr defaultColWidth="9.140625" defaultRowHeight="15"/>
  <cols>
    <col min="1" max="1" width="16.140625" style="20" customWidth="1"/>
    <col min="2" max="2" width="67.421875" style="0" customWidth="1"/>
    <col min="3" max="3" width="19.28125" style="276" customWidth="1"/>
    <col min="4" max="4" width="16.7109375" style="276" customWidth="1"/>
    <col min="5" max="5" width="17.00390625" style="276" customWidth="1"/>
    <col min="6" max="6" width="17.8515625" style="307" customWidth="1"/>
    <col min="7" max="7" width="16.28125" style="20" customWidth="1"/>
    <col min="8" max="8" width="16.421875" style="20" customWidth="1"/>
    <col min="9" max="9" width="18.140625" style="20" customWidth="1"/>
    <col min="10" max="16384" width="9.140625" style="20" customWidth="1"/>
  </cols>
  <sheetData>
    <row r="1" spans="6:9" ht="62.25" customHeight="1">
      <c r="F1" s="971" t="s">
        <v>326</v>
      </c>
      <c r="G1" s="971"/>
      <c r="H1" s="971"/>
      <c r="I1" s="971"/>
    </row>
    <row r="2" spans="2:6" ht="15.75">
      <c r="B2" s="194"/>
      <c r="C2" s="296"/>
      <c r="D2" s="296"/>
      <c r="E2" s="296"/>
      <c r="F2" s="268"/>
    </row>
    <row r="3" spans="2:9" ht="26.25" customHeight="1" thickBot="1">
      <c r="B3" s="984" t="s">
        <v>267</v>
      </c>
      <c r="C3" s="984"/>
      <c r="D3" s="984"/>
      <c r="E3" s="984"/>
      <c r="F3" s="984"/>
      <c r="G3" s="984"/>
      <c r="H3" s="984"/>
      <c r="I3" s="984"/>
    </row>
    <row r="4" spans="2:9" ht="48" customHeight="1">
      <c r="B4" s="976"/>
      <c r="C4" s="974" t="s">
        <v>317</v>
      </c>
      <c r="D4" s="974"/>
      <c r="E4" s="974"/>
      <c r="F4" s="974"/>
      <c r="G4" s="974"/>
      <c r="H4" s="974"/>
      <c r="I4" s="975"/>
    </row>
    <row r="5" spans="2:9" ht="36" customHeight="1">
      <c r="B5" s="977"/>
      <c r="C5" s="979" t="s">
        <v>268</v>
      </c>
      <c r="D5" s="979"/>
      <c r="E5" s="979"/>
      <c r="F5" s="972" t="s">
        <v>297</v>
      </c>
      <c r="G5" s="979" t="s">
        <v>269</v>
      </c>
      <c r="H5" s="979"/>
      <c r="I5" s="980"/>
    </row>
    <row r="6" spans="2:9" ht="27" customHeight="1">
      <c r="B6" s="977"/>
      <c r="C6" s="981" t="s">
        <v>17</v>
      </c>
      <c r="D6" s="981" t="s">
        <v>52</v>
      </c>
      <c r="E6" s="981"/>
      <c r="F6" s="972"/>
      <c r="G6" s="981" t="s">
        <v>17</v>
      </c>
      <c r="H6" s="981" t="s">
        <v>52</v>
      </c>
      <c r="I6" s="983"/>
    </row>
    <row r="7" spans="2:9" ht="34.5" customHeight="1" thickBot="1">
      <c r="B7" s="978"/>
      <c r="C7" s="982"/>
      <c r="D7" s="671" t="s">
        <v>19</v>
      </c>
      <c r="E7" s="671" t="s">
        <v>20</v>
      </c>
      <c r="F7" s="973"/>
      <c r="G7" s="982"/>
      <c r="H7" s="671" t="s">
        <v>19</v>
      </c>
      <c r="I7" s="672" t="s">
        <v>20</v>
      </c>
    </row>
    <row r="8" spans="2:9" ht="24.75" customHeight="1" thickBot="1">
      <c r="B8" s="675" t="s">
        <v>23</v>
      </c>
      <c r="C8" s="468">
        <v>1</v>
      </c>
      <c r="D8" s="468">
        <v>2</v>
      </c>
      <c r="E8" s="468">
        <v>3</v>
      </c>
      <c r="F8" s="676">
        <v>4</v>
      </c>
      <c r="G8" s="677">
        <v>5</v>
      </c>
      <c r="H8" s="677">
        <v>6</v>
      </c>
      <c r="I8" s="678">
        <v>7</v>
      </c>
    </row>
    <row r="9" spans="2:9" ht="19.5" customHeight="1">
      <c r="B9" s="327" t="s">
        <v>68</v>
      </c>
      <c r="C9" s="485">
        <f>D9+E9</f>
        <v>468</v>
      </c>
      <c r="D9" s="483">
        <f>490-22</f>
        <v>468</v>
      </c>
      <c r="E9" s="484">
        <v>0</v>
      </c>
      <c r="F9" s="673">
        <v>10.8</v>
      </c>
      <c r="G9" s="674">
        <f>H9+I9</f>
        <v>5054.400000000001</v>
      </c>
      <c r="H9" s="674">
        <f>D9*F9</f>
        <v>5054.400000000001</v>
      </c>
      <c r="I9" s="674">
        <f>E9*F9</f>
        <v>0</v>
      </c>
    </row>
    <row r="10" spans="2:9" ht="19.5" customHeight="1">
      <c r="B10" s="343" t="s">
        <v>29</v>
      </c>
      <c r="C10" s="485">
        <f aca="true" t="shared" si="0" ref="C10:C31">D10+E10</f>
        <v>75</v>
      </c>
      <c r="D10" s="487">
        <f>100-25</f>
        <v>75</v>
      </c>
      <c r="E10" s="488">
        <v>0</v>
      </c>
      <c r="F10" s="668">
        <v>10.8</v>
      </c>
      <c r="G10" s="667">
        <f aca="true" t="shared" si="1" ref="G10:G31">H10+I10</f>
        <v>810</v>
      </c>
      <c r="H10" s="667">
        <f aca="true" t="shared" si="2" ref="H10:H30">D10*F10</f>
        <v>810</v>
      </c>
      <c r="I10" s="667">
        <f aca="true" t="shared" si="3" ref="I10:I29">E10*F10</f>
        <v>0</v>
      </c>
    </row>
    <row r="11" spans="2:9" ht="19.5" customHeight="1">
      <c r="B11" s="343" t="s">
        <v>27</v>
      </c>
      <c r="C11" s="485">
        <f t="shared" si="0"/>
        <v>30</v>
      </c>
      <c r="D11" s="487">
        <f>40+8-18</f>
        <v>30</v>
      </c>
      <c r="E11" s="488">
        <v>0</v>
      </c>
      <c r="F11" s="668">
        <v>11.6</v>
      </c>
      <c r="G11" s="667">
        <f t="shared" si="1"/>
        <v>348</v>
      </c>
      <c r="H11" s="667">
        <f t="shared" si="2"/>
        <v>348</v>
      </c>
      <c r="I11" s="667">
        <f t="shared" si="3"/>
        <v>0</v>
      </c>
    </row>
    <row r="12" spans="2:9" ht="19.5" customHeight="1">
      <c r="B12" s="343" t="s">
        <v>28</v>
      </c>
      <c r="C12" s="485">
        <f t="shared" si="0"/>
        <v>50</v>
      </c>
      <c r="D12" s="487">
        <v>50</v>
      </c>
      <c r="E12" s="488">
        <v>0</v>
      </c>
      <c r="F12" s="668">
        <v>10.1</v>
      </c>
      <c r="G12" s="667">
        <f t="shared" si="1"/>
        <v>505</v>
      </c>
      <c r="H12" s="667">
        <f t="shared" si="2"/>
        <v>505</v>
      </c>
      <c r="I12" s="667">
        <f t="shared" si="3"/>
        <v>0</v>
      </c>
    </row>
    <row r="13" spans="2:9" ht="19.5" customHeight="1">
      <c r="B13" s="343" t="s">
        <v>25</v>
      </c>
      <c r="C13" s="485">
        <f t="shared" si="0"/>
        <v>310</v>
      </c>
      <c r="D13" s="487">
        <v>0</v>
      </c>
      <c r="E13" s="488">
        <f>360-50</f>
        <v>310</v>
      </c>
      <c r="F13" s="668">
        <v>8.6</v>
      </c>
      <c r="G13" s="667">
        <f t="shared" si="1"/>
        <v>2666</v>
      </c>
      <c r="H13" s="667">
        <f t="shared" si="2"/>
        <v>0</v>
      </c>
      <c r="I13" s="667">
        <f t="shared" si="3"/>
        <v>2666</v>
      </c>
    </row>
    <row r="14" spans="2:9" ht="19.5" customHeight="1">
      <c r="B14" s="343" t="s">
        <v>26</v>
      </c>
      <c r="C14" s="485">
        <f t="shared" si="0"/>
        <v>543</v>
      </c>
      <c r="D14" s="487">
        <f>572-29</f>
        <v>543</v>
      </c>
      <c r="E14" s="488">
        <v>0</v>
      </c>
      <c r="F14" s="668">
        <v>10.1</v>
      </c>
      <c r="G14" s="667">
        <f t="shared" si="1"/>
        <v>5484.3</v>
      </c>
      <c r="H14" s="667">
        <f t="shared" si="2"/>
        <v>5484.3</v>
      </c>
      <c r="I14" s="667">
        <f t="shared" si="3"/>
        <v>0</v>
      </c>
    </row>
    <row r="15" spans="2:9" ht="19.5" customHeight="1">
      <c r="B15" s="343" t="s">
        <v>69</v>
      </c>
      <c r="C15" s="485">
        <f t="shared" si="0"/>
        <v>63</v>
      </c>
      <c r="D15" s="487">
        <v>0</v>
      </c>
      <c r="E15" s="488">
        <f>84-21</f>
        <v>63</v>
      </c>
      <c r="F15" s="668">
        <v>12.1</v>
      </c>
      <c r="G15" s="667">
        <f t="shared" si="1"/>
        <v>762.3</v>
      </c>
      <c r="H15" s="667">
        <f t="shared" si="2"/>
        <v>0</v>
      </c>
      <c r="I15" s="667">
        <f t="shared" si="3"/>
        <v>762.3</v>
      </c>
    </row>
    <row r="16" spans="2:9" ht="19.5" customHeight="1">
      <c r="B16" s="343" t="s">
        <v>70</v>
      </c>
      <c r="C16" s="485">
        <f t="shared" si="0"/>
        <v>240</v>
      </c>
      <c r="D16" s="487">
        <f>257-17</f>
        <v>240</v>
      </c>
      <c r="E16" s="488">
        <v>0</v>
      </c>
      <c r="F16" s="668">
        <v>11</v>
      </c>
      <c r="G16" s="667">
        <f t="shared" si="1"/>
        <v>2640</v>
      </c>
      <c r="H16" s="667">
        <f t="shared" si="2"/>
        <v>2640</v>
      </c>
      <c r="I16" s="667">
        <f t="shared" si="3"/>
        <v>0</v>
      </c>
    </row>
    <row r="17" spans="2:9" ht="19.5" customHeight="1">
      <c r="B17" s="343" t="s">
        <v>71</v>
      </c>
      <c r="C17" s="485">
        <f t="shared" si="0"/>
        <v>140</v>
      </c>
      <c r="D17" s="487">
        <f>157-17</f>
        <v>140</v>
      </c>
      <c r="E17" s="488">
        <v>0</v>
      </c>
      <c r="F17" s="668">
        <v>8.9</v>
      </c>
      <c r="G17" s="667">
        <f t="shared" si="1"/>
        <v>1246</v>
      </c>
      <c r="H17" s="667">
        <f t="shared" si="2"/>
        <v>1246</v>
      </c>
      <c r="I17" s="667">
        <f t="shared" si="3"/>
        <v>0</v>
      </c>
    </row>
    <row r="18" spans="2:9" ht="19.5" customHeight="1">
      <c r="B18" s="343" t="s">
        <v>72</v>
      </c>
      <c r="C18" s="485">
        <f t="shared" si="0"/>
        <v>150</v>
      </c>
      <c r="D18" s="487">
        <f>100+20</f>
        <v>120</v>
      </c>
      <c r="E18" s="488">
        <v>30</v>
      </c>
      <c r="F18" s="668">
        <v>10.7</v>
      </c>
      <c r="G18" s="667">
        <f t="shared" si="1"/>
        <v>1605</v>
      </c>
      <c r="H18" s="667">
        <f t="shared" si="2"/>
        <v>1284</v>
      </c>
      <c r="I18" s="667">
        <f t="shared" si="3"/>
        <v>321</v>
      </c>
    </row>
    <row r="19" spans="2:9" ht="19.5" customHeight="1">
      <c r="B19" s="343" t="s">
        <v>73</v>
      </c>
      <c r="C19" s="485">
        <f t="shared" si="0"/>
        <v>170</v>
      </c>
      <c r="D19" s="487">
        <v>120</v>
      </c>
      <c r="E19" s="488">
        <v>50</v>
      </c>
      <c r="F19" s="668">
        <v>7.7</v>
      </c>
      <c r="G19" s="667">
        <f t="shared" si="1"/>
        <v>1309</v>
      </c>
      <c r="H19" s="667">
        <f t="shared" si="2"/>
        <v>924</v>
      </c>
      <c r="I19" s="667">
        <f t="shared" si="3"/>
        <v>385</v>
      </c>
    </row>
    <row r="20" spans="2:9" ht="19.5" customHeight="1">
      <c r="B20" s="343" t="s">
        <v>74</v>
      </c>
      <c r="C20" s="485">
        <f t="shared" si="0"/>
        <v>5</v>
      </c>
      <c r="D20" s="487">
        <f>10-5</f>
        <v>5</v>
      </c>
      <c r="E20" s="488">
        <v>0</v>
      </c>
      <c r="F20" s="668">
        <v>10.8</v>
      </c>
      <c r="G20" s="667">
        <f t="shared" si="1"/>
        <v>54</v>
      </c>
      <c r="H20" s="667">
        <f t="shared" si="2"/>
        <v>54</v>
      </c>
      <c r="I20" s="667">
        <f t="shared" si="3"/>
        <v>0</v>
      </c>
    </row>
    <row r="21" spans="2:9" ht="19.5" customHeight="1">
      <c r="B21" s="343" t="s">
        <v>75</v>
      </c>
      <c r="C21" s="485">
        <f t="shared" si="0"/>
        <v>675</v>
      </c>
      <c r="D21" s="487">
        <v>668</v>
      </c>
      <c r="E21" s="488">
        <f>10-3</f>
        <v>7</v>
      </c>
      <c r="F21" s="668">
        <v>6.3</v>
      </c>
      <c r="G21" s="667">
        <f t="shared" si="1"/>
        <v>4252.5</v>
      </c>
      <c r="H21" s="667">
        <f t="shared" si="2"/>
        <v>4208.4</v>
      </c>
      <c r="I21" s="667">
        <f t="shared" si="3"/>
        <v>44.1</v>
      </c>
    </row>
    <row r="22" spans="2:9" ht="19.5" customHeight="1">
      <c r="B22" s="343" t="s">
        <v>55</v>
      </c>
      <c r="C22" s="485">
        <f t="shared" si="0"/>
        <v>155</v>
      </c>
      <c r="D22" s="487">
        <v>100</v>
      </c>
      <c r="E22" s="488">
        <v>55</v>
      </c>
      <c r="F22" s="668">
        <v>7.6</v>
      </c>
      <c r="G22" s="667">
        <f t="shared" si="1"/>
        <v>1178</v>
      </c>
      <c r="H22" s="667">
        <f t="shared" si="2"/>
        <v>760</v>
      </c>
      <c r="I22" s="667">
        <f t="shared" si="3"/>
        <v>418</v>
      </c>
    </row>
    <row r="23" spans="2:9" ht="19.5" customHeight="1">
      <c r="B23" s="343" t="s">
        <v>38</v>
      </c>
      <c r="C23" s="485">
        <f t="shared" si="0"/>
        <v>40</v>
      </c>
      <c r="D23" s="487">
        <f>45-10</f>
        <v>35</v>
      </c>
      <c r="E23" s="488">
        <f>10-5</f>
        <v>5</v>
      </c>
      <c r="F23" s="668">
        <v>6.8</v>
      </c>
      <c r="G23" s="667">
        <f t="shared" si="1"/>
        <v>272</v>
      </c>
      <c r="H23" s="667">
        <f t="shared" si="2"/>
        <v>238</v>
      </c>
      <c r="I23" s="667">
        <f t="shared" si="3"/>
        <v>34</v>
      </c>
    </row>
    <row r="24" spans="2:9" ht="19.5" customHeight="1">
      <c r="B24" s="343" t="s">
        <v>76</v>
      </c>
      <c r="C24" s="485">
        <f t="shared" si="0"/>
        <v>552</v>
      </c>
      <c r="D24" s="487">
        <v>452</v>
      </c>
      <c r="E24" s="488">
        <v>100</v>
      </c>
      <c r="F24" s="668">
        <v>12.1</v>
      </c>
      <c r="G24" s="667">
        <f t="shared" si="1"/>
        <v>6679.2</v>
      </c>
      <c r="H24" s="667">
        <f t="shared" si="2"/>
        <v>5469.2</v>
      </c>
      <c r="I24" s="667">
        <f t="shared" si="3"/>
        <v>1210</v>
      </c>
    </row>
    <row r="25" spans="2:9" ht="19.5" customHeight="1">
      <c r="B25" s="343" t="s">
        <v>77</v>
      </c>
      <c r="C25" s="485">
        <f t="shared" si="0"/>
        <v>45</v>
      </c>
      <c r="D25" s="487">
        <f>55-15</f>
        <v>40</v>
      </c>
      <c r="E25" s="488">
        <v>5</v>
      </c>
      <c r="F25" s="668">
        <v>12.3</v>
      </c>
      <c r="G25" s="667">
        <f t="shared" si="1"/>
        <v>553.5</v>
      </c>
      <c r="H25" s="667">
        <f t="shared" si="2"/>
        <v>492</v>
      </c>
      <c r="I25" s="667">
        <f t="shared" si="3"/>
        <v>61.5</v>
      </c>
    </row>
    <row r="26" spans="2:9" ht="19.5" customHeight="1">
      <c r="B26" s="343" t="s">
        <v>31</v>
      </c>
      <c r="C26" s="485">
        <f t="shared" si="0"/>
        <v>1626</v>
      </c>
      <c r="D26" s="487">
        <v>240</v>
      </c>
      <c r="E26" s="488">
        <v>1386</v>
      </c>
      <c r="F26" s="668">
        <v>7.1</v>
      </c>
      <c r="G26" s="667">
        <f t="shared" si="1"/>
        <v>11544.6</v>
      </c>
      <c r="H26" s="667">
        <f t="shared" si="2"/>
        <v>1704</v>
      </c>
      <c r="I26" s="667">
        <f t="shared" si="3"/>
        <v>9840.6</v>
      </c>
    </row>
    <row r="27" spans="2:9" ht="19.5" customHeight="1">
      <c r="B27" s="343" t="s">
        <v>78</v>
      </c>
      <c r="C27" s="485">
        <f t="shared" si="0"/>
        <v>475</v>
      </c>
      <c r="D27" s="487">
        <v>475</v>
      </c>
      <c r="E27" s="488">
        <v>0</v>
      </c>
      <c r="F27" s="668">
        <v>5.6</v>
      </c>
      <c r="G27" s="667">
        <f t="shared" si="1"/>
        <v>2660</v>
      </c>
      <c r="H27" s="667">
        <f t="shared" si="2"/>
        <v>2660</v>
      </c>
      <c r="I27" s="667">
        <f t="shared" si="3"/>
        <v>0</v>
      </c>
    </row>
    <row r="28" spans="2:9" ht="19.5" customHeight="1">
      <c r="B28" s="363" t="s">
        <v>79</v>
      </c>
      <c r="C28" s="485">
        <f t="shared" si="0"/>
        <v>255</v>
      </c>
      <c r="D28" s="487">
        <f>305-50</f>
        <v>255</v>
      </c>
      <c r="E28" s="488">
        <v>0</v>
      </c>
      <c r="F28" s="668">
        <v>7.7</v>
      </c>
      <c r="G28" s="667">
        <f t="shared" si="1"/>
        <v>1963.5</v>
      </c>
      <c r="H28" s="667">
        <f t="shared" si="2"/>
        <v>1963.5</v>
      </c>
      <c r="I28" s="667">
        <f t="shared" si="3"/>
        <v>0</v>
      </c>
    </row>
    <row r="29" spans="2:9" ht="19.5" customHeight="1">
      <c r="B29" s="363" t="s">
        <v>32</v>
      </c>
      <c r="C29" s="485">
        <f t="shared" si="0"/>
        <v>568</v>
      </c>
      <c r="D29" s="487">
        <v>405</v>
      </c>
      <c r="E29" s="488">
        <v>163</v>
      </c>
      <c r="F29" s="668">
        <v>8.9</v>
      </c>
      <c r="G29" s="667">
        <f t="shared" si="1"/>
        <v>5055.2</v>
      </c>
      <c r="H29" s="667">
        <f t="shared" si="2"/>
        <v>3604.5</v>
      </c>
      <c r="I29" s="667">
        <f t="shared" si="3"/>
        <v>1450.7</v>
      </c>
    </row>
    <row r="30" spans="2:9" ht="19.5" customHeight="1" thickBot="1">
      <c r="B30" s="363" t="s">
        <v>80</v>
      </c>
      <c r="C30" s="493">
        <f t="shared" si="0"/>
        <v>0</v>
      </c>
      <c r="D30" s="491"/>
      <c r="E30" s="492"/>
      <c r="F30" s="669"/>
      <c r="G30" s="670">
        <f t="shared" si="1"/>
        <v>0</v>
      </c>
      <c r="H30" s="670">
        <f t="shared" si="2"/>
        <v>0</v>
      </c>
      <c r="I30" s="670"/>
    </row>
    <row r="31" spans="2:9" ht="30" customHeight="1">
      <c r="B31" s="384" t="s">
        <v>43</v>
      </c>
      <c r="C31" s="780">
        <f t="shared" si="0"/>
        <v>6635</v>
      </c>
      <c r="D31" s="781">
        <f>SUM(D9:D30)</f>
        <v>4461</v>
      </c>
      <c r="E31" s="782">
        <f>SUM(E9:E30)</f>
        <v>2174</v>
      </c>
      <c r="F31" s="783">
        <f>SUM(F9:F30)/21</f>
        <v>9.40952380952381</v>
      </c>
      <c r="G31" s="784">
        <f t="shared" si="1"/>
        <v>56642.5</v>
      </c>
      <c r="H31" s="785">
        <f>SUM(H9:H30)</f>
        <v>39449.3</v>
      </c>
      <c r="I31" s="786">
        <f>SUM(I9:I30)</f>
        <v>17193.2</v>
      </c>
    </row>
    <row r="32" spans="2:9" ht="22.5" customHeight="1" hidden="1">
      <c r="B32" s="787" t="s">
        <v>308</v>
      </c>
      <c r="C32" s="788">
        <f>C31-D32</f>
        <v>6171</v>
      </c>
      <c r="D32" s="487">
        <v>464</v>
      </c>
      <c r="E32" s="487"/>
      <c r="F32" s="789"/>
      <c r="G32" s="779"/>
      <c r="H32" s="667"/>
      <c r="I32" s="667"/>
    </row>
    <row r="33" spans="2:9" ht="26.25" customHeight="1" thickBot="1">
      <c r="B33" s="790" t="s">
        <v>56</v>
      </c>
      <c r="C33" s="791">
        <v>543</v>
      </c>
      <c r="D33" s="791"/>
      <c r="E33" s="791"/>
      <c r="F33" s="374">
        <v>9.2</v>
      </c>
      <c r="G33" s="792">
        <f>C33*F33</f>
        <v>4995.599999999999</v>
      </c>
      <c r="H33" s="793"/>
      <c r="I33" s="793"/>
    </row>
    <row r="34" spans="2:9" ht="27" customHeight="1" thickBot="1">
      <c r="B34" s="580" t="s">
        <v>45</v>
      </c>
      <c r="C34" s="467">
        <f>C31+C33</f>
        <v>7178</v>
      </c>
      <c r="D34" s="694"/>
      <c r="E34" s="695"/>
      <c r="F34" s="579"/>
      <c r="G34" s="677">
        <f>G33+G31</f>
        <v>61638.1</v>
      </c>
      <c r="H34" s="696"/>
      <c r="I34" s="697"/>
    </row>
    <row r="35" spans="2:5" ht="15.75">
      <c r="B35" s="578"/>
      <c r="C35" s="405"/>
      <c r="D35" s="405"/>
      <c r="E35" s="405"/>
    </row>
    <row r="36" spans="2:5" ht="15.75">
      <c r="B36" s="577"/>
      <c r="C36" s="406"/>
      <c r="D36" s="407"/>
      <c r="E36" s="408"/>
    </row>
    <row r="37" spans="2:5" ht="15.75">
      <c r="B37" s="409"/>
      <c r="C37" s="299"/>
      <c r="D37" s="407"/>
      <c r="E37" s="268"/>
    </row>
    <row r="38" spans="3:5" ht="15.75">
      <c r="C38" s="299"/>
      <c r="D38" s="407"/>
      <c r="E38" s="410"/>
    </row>
    <row r="39" spans="3:5" ht="15.75">
      <c r="C39" s="299"/>
      <c r="D39" s="299"/>
      <c r="E39" s="299"/>
    </row>
    <row r="40" spans="3:5" ht="15.75">
      <c r="C40" s="299"/>
      <c r="D40" s="299"/>
      <c r="E40" s="299"/>
    </row>
    <row r="41" spans="3:5" ht="15.75">
      <c r="C41" s="299"/>
      <c r="D41" s="299"/>
      <c r="E41" s="299"/>
    </row>
    <row r="42" spans="3:5" ht="15.75">
      <c r="C42" s="299"/>
      <c r="D42" s="299"/>
      <c r="E42" s="299"/>
    </row>
    <row r="43" spans="3:5" ht="15.75">
      <c r="C43" s="305"/>
      <c r="D43" s="305"/>
      <c r="E43" s="305"/>
    </row>
    <row r="46" ht="15.75">
      <c r="F46" s="411"/>
    </row>
    <row r="47" ht="15.75">
      <c r="F47" s="411"/>
    </row>
    <row r="59" ht="15" customHeight="1" hidden="1"/>
    <row r="60" ht="15.75" customHeight="1" hidden="1" thickBot="1"/>
    <row r="61" ht="15" customHeight="1" hidden="1"/>
    <row r="62" ht="65.25" customHeight="1" hidden="1"/>
    <row r="63" ht="15" customHeight="1" hidden="1" thickBot="1"/>
    <row r="64" ht="15.75" customHeight="1" hidden="1" thickBot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.75" customHeight="1" hidden="1" thickBot="1"/>
    <row r="87" ht="15.75" customHeight="1" hidden="1" thickBot="1"/>
    <row r="88" ht="15" customHeight="1" hidden="1"/>
    <row r="89" ht="15" customHeight="1" hidden="1"/>
    <row r="90" ht="15" customHeight="1" hidden="1"/>
    <row r="91" ht="15.75" customHeight="1" hidden="1" thickBot="1"/>
    <row r="92" ht="15" customHeight="1" hidden="1"/>
    <row r="93" ht="65.25" customHeight="1" hidden="1"/>
    <row r="94" ht="15" customHeight="1" hidden="1" thickBot="1"/>
    <row r="95" ht="15.75" customHeight="1" hidden="1" thickBot="1"/>
    <row r="96" ht="15.75" customHeight="1" hidden="1" thickBot="1"/>
    <row r="97" ht="15.75" customHeight="1" hidden="1" thickBot="1"/>
    <row r="98" ht="15" customHeight="1" hidden="1"/>
    <row r="99" ht="15" customHeight="1" hidden="1"/>
    <row r="100" ht="15" customHeight="1" hidden="1"/>
    <row r="101" ht="15.75" customHeight="1" hidden="1" thickBot="1"/>
    <row r="102" ht="15" customHeight="1" hidden="1"/>
    <row r="103" ht="65.25" customHeight="1" hidden="1"/>
    <row r="104" ht="15" customHeight="1" hidden="1" thickBot="1"/>
    <row r="105" ht="15.75" customHeight="1" hidden="1" thickBot="1"/>
    <row r="106" ht="15.75" customHeight="1" hidden="1" thickBot="1"/>
    <row r="107" ht="15.75" customHeight="1" hidden="1" thickBot="1"/>
    <row r="108" ht="15" customHeight="1" hidden="1"/>
    <row r="109" ht="15" customHeight="1" hidden="1"/>
    <row r="110" ht="15" customHeight="1" hidden="1"/>
    <row r="111" ht="15.75" customHeight="1" hidden="1" thickBot="1"/>
    <row r="112" ht="15" customHeight="1" hidden="1"/>
    <row r="113" ht="65.25" customHeight="1" hidden="1"/>
    <row r="114" ht="15" customHeight="1" hidden="1" thickBot="1"/>
    <row r="115" ht="15.75" customHeight="1" hidden="1" thickBot="1"/>
    <row r="116" ht="15.75" customHeight="1" hidden="1" thickBot="1"/>
    <row r="117" ht="15.75" customHeight="1" hidden="1" thickBot="1"/>
    <row r="118" ht="15" customHeight="1" hidden="1"/>
    <row r="119" ht="15" customHeight="1" hidden="1"/>
    <row r="120" ht="15.75" customHeight="1" hidden="1" thickBot="1"/>
    <row r="121" ht="15" customHeight="1" hidden="1"/>
    <row r="122" ht="65.25" customHeight="1" hidden="1"/>
    <row r="123" ht="15" customHeight="1" hidden="1" thickBot="1"/>
    <row r="124" ht="15.75" customHeight="1" hidden="1" thickBot="1"/>
    <row r="125" ht="15" customHeight="1" hidden="1"/>
    <row r="126" ht="15" customHeight="1" hidden="1"/>
    <row r="127" ht="15" customHeight="1" hidden="1"/>
    <row r="128" ht="15" customHeight="1" hidden="1"/>
    <row r="129" ht="15.75" customHeight="1" hidden="1" thickBot="1"/>
    <row r="130" ht="15.75" customHeight="1" hidden="1" thickBot="1"/>
    <row r="131" ht="15" customHeight="1" hidden="1"/>
    <row r="132" ht="15" customHeight="1" hidden="1"/>
    <row r="133" ht="15.75" customHeight="1" hidden="1" thickBot="1"/>
    <row r="134" ht="15" customHeight="1" hidden="1"/>
    <row r="135" ht="65.25" customHeight="1" hidden="1"/>
    <row r="136" ht="15" customHeight="1" hidden="1" thickBot="1"/>
    <row r="137" ht="15.75" customHeight="1" hidden="1" thickBot="1"/>
    <row r="138" ht="15.75" customHeight="1" hidden="1" thickBot="1"/>
    <row r="139" ht="15.75" customHeight="1" hidden="1" thickBot="1"/>
    <row r="140" ht="15" customHeight="1" hidden="1"/>
    <row r="141" ht="15" customHeight="1" hidden="1"/>
    <row r="142" ht="15.75" customHeight="1" hidden="1" thickBot="1"/>
    <row r="143" ht="15" customHeight="1" hidden="1"/>
    <row r="144" ht="65.25" customHeight="1" hidden="1"/>
    <row r="145" ht="15" customHeight="1" hidden="1" thickBot="1"/>
    <row r="146" ht="15.75" customHeight="1" hidden="1" thickBot="1"/>
    <row r="147" ht="15" customHeight="1" hidden="1"/>
    <row r="148" ht="15.75" customHeight="1" hidden="1" thickBot="1"/>
    <row r="149" ht="15.75" customHeight="1" hidden="1" thickBot="1"/>
    <row r="150" ht="15" customHeight="1" hidden="1"/>
  </sheetData>
  <sheetProtection/>
  <mergeCells count="11">
    <mergeCell ref="B3:I3"/>
    <mergeCell ref="F1:I1"/>
    <mergeCell ref="F5:F7"/>
    <mergeCell ref="C4:I4"/>
    <mergeCell ref="B4:B7"/>
    <mergeCell ref="G5:I5"/>
    <mergeCell ref="G6:G7"/>
    <mergeCell ref="H6:I6"/>
    <mergeCell ref="C5:E5"/>
    <mergeCell ref="D6:E6"/>
    <mergeCell ref="C6:C7"/>
  </mergeCells>
  <printOptions/>
  <pageMargins left="0.1968503937007874" right="0.15748031496062992" top="0.35433070866141736" bottom="0.15748031496062992" header="0.31496062992125984" footer="0.31496062992125984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view="pageBreakPreview" zoomScale="70" zoomScaleSheetLayoutView="70" zoomScalePageLayoutView="0" workbookViewId="0" topLeftCell="A1">
      <pane xSplit="2" topLeftCell="C1" activePane="topRight" state="frozen"/>
      <selection pane="topLeft" activeCell="A4" sqref="A4"/>
      <selection pane="topRight" activeCell="F1" sqref="F1:I1"/>
    </sheetView>
  </sheetViews>
  <sheetFormatPr defaultColWidth="9.140625" defaultRowHeight="15"/>
  <cols>
    <col min="1" max="1" width="7.7109375" style="0" customWidth="1"/>
    <col min="2" max="2" width="60.7109375" style="410" customWidth="1"/>
    <col min="3" max="3" width="14.00390625" style="231" customWidth="1"/>
    <col min="4" max="4" width="15.57421875" style="231" customWidth="1"/>
    <col min="5" max="5" width="12.8515625" style="231" customWidth="1"/>
    <col min="6" max="6" width="20.421875" style="231" customWidth="1"/>
    <col min="7" max="7" width="14.28125" style="231" customWidth="1"/>
    <col min="8" max="9" width="13.8515625" style="231" customWidth="1"/>
    <col min="13" max="13" width="10.421875" style="0" hidden="1" customWidth="1"/>
    <col min="14" max="14" width="11.8515625" style="0" hidden="1" customWidth="1"/>
    <col min="15" max="15" width="11.00390625" style="0" hidden="1" customWidth="1"/>
    <col min="16" max="16" width="10.421875" style="0" hidden="1" customWidth="1"/>
    <col min="17" max="17" width="13.00390625" style="0" hidden="1" customWidth="1"/>
    <col min="18" max="18" width="11.00390625" style="0" hidden="1" customWidth="1"/>
    <col min="19" max="19" width="13.00390625" style="0" hidden="1" customWidth="1"/>
    <col min="20" max="20" width="12.00390625" style="0" hidden="1" customWidth="1"/>
    <col min="21" max="21" width="9.421875" style="0" hidden="1" customWidth="1"/>
    <col min="22" max="24" width="9.421875" style="275" hidden="1" customWidth="1"/>
    <col min="25" max="25" width="8.140625" style="275" hidden="1" customWidth="1"/>
    <col min="26" max="26" width="7.421875" style="275" hidden="1" customWidth="1"/>
    <col min="27" max="27" width="7.8515625" style="275" hidden="1" customWidth="1"/>
    <col min="28" max="28" width="8.140625" style="275" hidden="1" customWidth="1"/>
    <col min="29" max="29" width="7.7109375" style="275" hidden="1" customWidth="1"/>
    <col min="30" max="30" width="7.57421875" style="275" hidden="1" customWidth="1"/>
    <col min="31" max="31" width="7.7109375" style="275" hidden="1" customWidth="1"/>
    <col min="32" max="32" width="8.00390625" style="276" hidden="1" customWidth="1"/>
    <col min="33" max="33" width="8.28125" style="276" hidden="1" customWidth="1"/>
    <col min="34" max="34" width="10.28125" style="276" hidden="1" customWidth="1"/>
    <col min="35" max="35" width="11.8515625" style="276" hidden="1" customWidth="1"/>
    <col min="36" max="36" width="11.00390625" style="276" hidden="1" customWidth="1"/>
    <col min="37" max="37" width="7.7109375" style="307" customWidth="1"/>
    <col min="38" max="16384" width="9.140625" style="20" customWidth="1"/>
  </cols>
  <sheetData>
    <row r="1" spans="6:37" ht="71.25" customHeight="1">
      <c r="F1" s="971" t="s">
        <v>327</v>
      </c>
      <c r="G1" s="971"/>
      <c r="H1" s="971"/>
      <c r="I1" s="971"/>
      <c r="J1" s="270"/>
      <c r="K1" s="270"/>
      <c r="L1" s="270"/>
      <c r="AK1" s="269"/>
    </row>
    <row r="2" spans="9:37" ht="16.5" thickBot="1">
      <c r="I2" s="276"/>
      <c r="J2" s="229"/>
      <c r="M2" s="194"/>
      <c r="N2" s="194"/>
      <c r="O2" s="194"/>
      <c r="P2" s="194"/>
      <c r="Q2" s="194"/>
      <c r="R2" s="194"/>
      <c r="S2" s="194"/>
      <c r="T2" s="194"/>
      <c r="U2" s="194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96"/>
      <c r="AG2" s="296"/>
      <c r="AH2" s="296"/>
      <c r="AI2" s="296"/>
      <c r="AJ2" s="296"/>
      <c r="AK2" s="268"/>
    </row>
    <row r="3" spans="1:36" ht="42.75" customHeight="1" thickBot="1">
      <c r="A3" s="194"/>
      <c r="B3" s="1009" t="s">
        <v>272</v>
      </c>
      <c r="C3" s="1010"/>
      <c r="D3" s="1010"/>
      <c r="E3" s="1010"/>
      <c r="F3" s="1010"/>
      <c r="G3" s="1010"/>
      <c r="H3" s="1010"/>
      <c r="I3" s="1011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53.25" customHeight="1" thickBot="1">
      <c r="A4" s="194"/>
      <c r="B4" s="1030" t="s">
        <v>81</v>
      </c>
      <c r="C4" s="1019" t="s">
        <v>318</v>
      </c>
      <c r="D4" s="1019"/>
      <c r="E4" s="1019"/>
      <c r="F4" s="1019"/>
      <c r="G4" s="1019"/>
      <c r="H4" s="1019"/>
      <c r="I4" s="1020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</row>
    <row r="5" spans="2:36" ht="39" customHeight="1" thickBot="1">
      <c r="B5" s="1030"/>
      <c r="C5" s="998" t="s">
        <v>270</v>
      </c>
      <c r="D5" s="999"/>
      <c r="E5" s="999"/>
      <c r="F5" s="1024" t="s">
        <v>298</v>
      </c>
      <c r="G5" s="1021" t="s">
        <v>271</v>
      </c>
      <c r="H5" s="1022"/>
      <c r="I5" s="1023"/>
      <c r="M5" s="1012" t="s">
        <v>58</v>
      </c>
      <c r="N5" s="1013"/>
      <c r="O5" s="1014"/>
      <c r="P5" s="1015" t="s">
        <v>59</v>
      </c>
      <c r="Q5" s="1013"/>
      <c r="R5" s="994"/>
      <c r="S5" s="1012" t="s">
        <v>60</v>
      </c>
      <c r="T5" s="1013"/>
      <c r="U5" s="1014"/>
      <c r="V5" s="1016" t="s">
        <v>61</v>
      </c>
      <c r="W5" s="1017"/>
      <c r="X5" s="1018"/>
      <c r="Y5" s="1005" t="s">
        <v>62</v>
      </c>
      <c r="Z5" s="989"/>
      <c r="AA5" s="990"/>
      <c r="AB5" s="1005" t="s">
        <v>63</v>
      </c>
      <c r="AC5" s="989"/>
      <c r="AD5" s="1006"/>
      <c r="AE5" s="996" t="s">
        <v>64</v>
      </c>
      <c r="AF5" s="989"/>
      <c r="AG5" s="990"/>
      <c r="AH5" s="998" t="s">
        <v>65</v>
      </c>
      <c r="AI5" s="999"/>
      <c r="AJ5" s="1000"/>
    </row>
    <row r="6" spans="2:36" ht="24" customHeight="1">
      <c r="B6" s="1030"/>
      <c r="C6" s="1034" t="s">
        <v>17</v>
      </c>
      <c r="D6" s="1032" t="s">
        <v>98</v>
      </c>
      <c r="E6" s="1033"/>
      <c r="F6" s="1025"/>
      <c r="G6" s="1027" t="s">
        <v>17</v>
      </c>
      <c r="H6" s="1003"/>
      <c r="I6" s="1004"/>
      <c r="M6" s="1007" t="s">
        <v>17</v>
      </c>
      <c r="N6" s="987" t="s">
        <v>52</v>
      </c>
      <c r="O6" s="991"/>
      <c r="P6" s="985" t="s">
        <v>17</v>
      </c>
      <c r="Q6" s="987" t="s">
        <v>52</v>
      </c>
      <c r="R6" s="988"/>
      <c r="S6" s="1007" t="s">
        <v>17</v>
      </c>
      <c r="T6" s="987" t="s">
        <v>52</v>
      </c>
      <c r="U6" s="991"/>
      <c r="V6" s="996" t="s">
        <v>17</v>
      </c>
      <c r="W6" s="989" t="s">
        <v>18</v>
      </c>
      <c r="X6" s="990"/>
      <c r="Y6" s="985" t="s">
        <v>17</v>
      </c>
      <c r="Z6" s="987" t="s">
        <v>52</v>
      </c>
      <c r="AA6" s="991"/>
      <c r="AB6" s="985" t="s">
        <v>17</v>
      </c>
      <c r="AC6" s="987" t="s">
        <v>52</v>
      </c>
      <c r="AD6" s="991"/>
      <c r="AE6" s="985" t="s">
        <v>17</v>
      </c>
      <c r="AF6" s="987" t="s">
        <v>52</v>
      </c>
      <c r="AG6" s="988"/>
      <c r="AH6" s="1001" t="s">
        <v>17</v>
      </c>
      <c r="AI6" s="994" t="s">
        <v>52</v>
      </c>
      <c r="AJ6" s="995"/>
    </row>
    <row r="7" spans="2:37" ht="35.25" customHeight="1" thickBot="1">
      <c r="B7" s="1031"/>
      <c r="C7" s="1035"/>
      <c r="D7" s="588" t="s">
        <v>300</v>
      </c>
      <c r="E7" s="855" t="s">
        <v>301</v>
      </c>
      <c r="F7" s="1026"/>
      <c r="G7" s="1028"/>
      <c r="H7" s="588" t="s">
        <v>300</v>
      </c>
      <c r="I7" s="589" t="s">
        <v>301</v>
      </c>
      <c r="M7" s="1008"/>
      <c r="N7" s="310" t="s">
        <v>66</v>
      </c>
      <c r="O7" s="312" t="s">
        <v>20</v>
      </c>
      <c r="P7" s="986"/>
      <c r="Q7" s="310" t="s">
        <v>66</v>
      </c>
      <c r="R7" s="311" t="s">
        <v>20</v>
      </c>
      <c r="S7" s="1008"/>
      <c r="T7" s="310" t="s">
        <v>66</v>
      </c>
      <c r="U7" s="312" t="s">
        <v>20</v>
      </c>
      <c r="V7" s="997"/>
      <c r="W7" s="313" t="s">
        <v>67</v>
      </c>
      <c r="X7" s="314" t="s">
        <v>20</v>
      </c>
      <c r="Y7" s="986"/>
      <c r="Z7" s="310" t="s">
        <v>66</v>
      </c>
      <c r="AA7" s="312" t="s">
        <v>20</v>
      </c>
      <c r="AB7" s="986"/>
      <c r="AC7" s="310" t="s">
        <v>66</v>
      </c>
      <c r="AD7" s="312" t="s">
        <v>20</v>
      </c>
      <c r="AE7" s="986"/>
      <c r="AF7" s="310" t="s">
        <v>66</v>
      </c>
      <c r="AG7" s="311" t="s">
        <v>20</v>
      </c>
      <c r="AH7" s="1002"/>
      <c r="AI7" s="315" t="s">
        <v>19</v>
      </c>
      <c r="AJ7" s="316" t="s">
        <v>20</v>
      </c>
      <c r="AK7" s="309"/>
    </row>
    <row r="8" spans="2:36" ht="21.75" customHeight="1" thickBot="1">
      <c r="B8" s="412" t="s">
        <v>23</v>
      </c>
      <c r="C8" s="415">
        <v>1</v>
      </c>
      <c r="D8" s="413">
        <v>2</v>
      </c>
      <c r="E8" s="414">
        <v>3</v>
      </c>
      <c r="F8" s="582">
        <v>4</v>
      </c>
      <c r="G8" s="415">
        <v>5</v>
      </c>
      <c r="H8" s="413">
        <v>6</v>
      </c>
      <c r="I8" s="590">
        <v>7</v>
      </c>
      <c r="M8" s="320">
        <v>1</v>
      </c>
      <c r="N8" s="317">
        <v>2</v>
      </c>
      <c r="O8" s="318">
        <v>3</v>
      </c>
      <c r="P8" s="321">
        <v>4</v>
      </c>
      <c r="Q8" s="317">
        <v>5</v>
      </c>
      <c r="R8" s="319">
        <v>6</v>
      </c>
      <c r="S8" s="320">
        <v>7</v>
      </c>
      <c r="T8" s="317">
        <v>8</v>
      </c>
      <c r="U8" s="318">
        <v>9</v>
      </c>
      <c r="V8" s="322"/>
      <c r="W8" s="323"/>
      <c r="X8" s="324"/>
      <c r="Y8" s="325"/>
      <c r="Z8" s="323"/>
      <c r="AA8" s="324"/>
      <c r="AB8" s="325"/>
      <c r="AC8" s="323"/>
      <c r="AD8" s="326"/>
      <c r="AE8" s="322"/>
      <c r="AF8" s="282"/>
      <c r="AG8" s="283"/>
      <c r="AH8" s="281"/>
      <c r="AI8" s="282"/>
      <c r="AJ8" s="284"/>
    </row>
    <row r="9" spans="2:36" ht="19.5" customHeight="1" hidden="1">
      <c r="B9" s="417" t="s">
        <v>82</v>
      </c>
      <c r="C9" s="420">
        <f>D9+E9</f>
        <v>0</v>
      </c>
      <c r="D9" s="421">
        <f>2-2</f>
        <v>0</v>
      </c>
      <c r="E9" s="418"/>
      <c r="F9" s="583">
        <f>G9+H9</f>
        <v>0</v>
      </c>
      <c r="G9" s="419">
        <f>2-2</f>
        <v>0</v>
      </c>
      <c r="H9" s="418"/>
      <c r="I9" s="587" t="e">
        <f>#REF!+#REF!</f>
        <v>#REF!</v>
      </c>
      <c r="M9" s="329">
        <f aca="true" t="shared" si="0" ref="M9:M31">N9+O9</f>
        <v>0</v>
      </c>
      <c r="N9" s="285">
        <f aca="true" t="shared" si="1" ref="N9:N17">K9/3</f>
        <v>0</v>
      </c>
      <c r="O9" s="330">
        <f aca="true" t="shared" si="2" ref="O9:O17">L9/3</f>
        <v>0</v>
      </c>
      <c r="P9" s="331">
        <f aca="true" t="shared" si="3" ref="P9:P31">Q9+R9</f>
        <v>430.7</v>
      </c>
      <c r="Q9" s="332">
        <v>430.7</v>
      </c>
      <c r="R9" s="333">
        <f>O9/3</f>
        <v>0</v>
      </c>
      <c r="S9" s="334">
        <f aca="true" t="shared" si="4" ref="S9:S31">T9+U9</f>
        <v>492</v>
      </c>
      <c r="T9" s="328">
        <f>246*2</f>
        <v>492</v>
      </c>
      <c r="U9" s="335"/>
      <c r="V9" s="336">
        <f aca="true" t="shared" si="5" ref="V9:V31">W9+X9</f>
        <v>330</v>
      </c>
      <c r="W9" s="337">
        <f>(21+56+49+(6+60)+(1+37)+(3+40)+(1+21)+(6+29))</f>
        <v>330</v>
      </c>
      <c r="X9" s="338"/>
      <c r="Y9" s="339">
        <f aca="true" t="shared" si="6" ref="Y9:Y31">Z9+AA9</f>
        <v>420</v>
      </c>
      <c r="Z9" s="337">
        <v>420</v>
      </c>
      <c r="AA9" s="338"/>
      <c r="AB9" s="339">
        <f aca="true" t="shared" si="7" ref="AB9:AB31">AC9+AD9</f>
        <v>346</v>
      </c>
      <c r="AC9" s="337">
        <v>346</v>
      </c>
      <c r="AD9" s="340"/>
      <c r="AE9" s="341">
        <f aca="true" t="shared" si="8" ref="AE9:AE31">AF9+AG9</f>
        <v>461.3333333333333</v>
      </c>
      <c r="AF9" s="285">
        <f aca="true" t="shared" si="9" ref="AF9:AF31">AC9/9*12</f>
        <v>461.3333333333333</v>
      </c>
      <c r="AG9" s="286">
        <f aca="true" t="shared" si="10" ref="AG9:AG31">AD9/9*12</f>
        <v>0</v>
      </c>
      <c r="AH9" s="342"/>
      <c r="AI9" s="286"/>
      <c r="AJ9" s="330"/>
    </row>
    <row r="10" spans="2:36" ht="21.75" customHeight="1">
      <c r="B10" s="422" t="s">
        <v>25</v>
      </c>
      <c r="C10" s="680">
        <f>D10+E10</f>
        <v>117</v>
      </c>
      <c r="D10" s="246"/>
      <c r="E10" s="247">
        <f>150-33</f>
        <v>117</v>
      </c>
      <c r="F10" s="693">
        <v>8.6</v>
      </c>
      <c r="G10" s="681">
        <f>H10+I10</f>
        <v>1006.1999999999999</v>
      </c>
      <c r="H10" s="581">
        <f>D10*F10</f>
        <v>0</v>
      </c>
      <c r="I10" s="682">
        <f>E10*F10</f>
        <v>1006.1999999999999</v>
      </c>
      <c r="M10" s="345">
        <f t="shared" si="0"/>
        <v>0</v>
      </c>
      <c r="N10" s="287">
        <f t="shared" si="1"/>
        <v>0</v>
      </c>
      <c r="O10" s="289">
        <f t="shared" si="2"/>
        <v>0</v>
      </c>
      <c r="P10" s="346">
        <f t="shared" si="3"/>
        <v>70</v>
      </c>
      <c r="Q10" s="347">
        <v>60</v>
      </c>
      <c r="R10" s="348">
        <v>10</v>
      </c>
      <c r="S10" s="349">
        <f t="shared" si="4"/>
        <v>50</v>
      </c>
      <c r="T10" s="344">
        <f>25*2</f>
        <v>50</v>
      </c>
      <c r="U10" s="350"/>
      <c r="V10" s="336">
        <f t="shared" si="5"/>
        <v>84</v>
      </c>
      <c r="W10" s="351">
        <v>84</v>
      </c>
      <c r="X10" s="352"/>
      <c r="Y10" s="353">
        <f t="shared" si="6"/>
        <v>57</v>
      </c>
      <c r="Z10" s="351">
        <v>57</v>
      </c>
      <c r="AA10" s="352"/>
      <c r="AB10" s="353">
        <f t="shared" si="7"/>
        <v>43</v>
      </c>
      <c r="AC10" s="351">
        <v>43</v>
      </c>
      <c r="AD10" s="354"/>
      <c r="AE10" s="355">
        <f t="shared" si="8"/>
        <v>57.33333333333333</v>
      </c>
      <c r="AF10" s="287">
        <f t="shared" si="9"/>
        <v>57.33333333333333</v>
      </c>
      <c r="AG10" s="288">
        <f t="shared" si="10"/>
        <v>0</v>
      </c>
      <c r="AH10" s="356"/>
      <c r="AI10" s="288"/>
      <c r="AJ10" s="289"/>
    </row>
    <row r="11" spans="2:36" ht="21.75" customHeight="1">
      <c r="B11" s="423" t="s">
        <v>26</v>
      </c>
      <c r="C11" s="680">
        <f aca="true" t="shared" si="11" ref="C11:C24">D11+E11</f>
        <v>600</v>
      </c>
      <c r="D11" s="246">
        <v>600</v>
      </c>
      <c r="E11" s="247"/>
      <c r="F11" s="693">
        <v>10.1</v>
      </c>
      <c r="G11" s="681">
        <f aca="true" t="shared" si="12" ref="G11:G24">H11+I11</f>
        <v>6060</v>
      </c>
      <c r="H11" s="581">
        <f aca="true" t="shared" si="13" ref="H11:H22">D11*F11</f>
        <v>6060</v>
      </c>
      <c r="I11" s="682">
        <f aca="true" t="shared" si="14" ref="I11:I22">E11*F11</f>
        <v>0</v>
      </c>
      <c r="M11" s="345">
        <f t="shared" si="0"/>
        <v>0</v>
      </c>
      <c r="N11" s="287">
        <f t="shared" si="1"/>
        <v>0</v>
      </c>
      <c r="O11" s="289">
        <f t="shared" si="2"/>
        <v>0</v>
      </c>
      <c r="P11" s="346">
        <f t="shared" si="3"/>
        <v>65.2</v>
      </c>
      <c r="Q11" s="347">
        <v>65.2</v>
      </c>
      <c r="R11" s="348">
        <f>O11/3</f>
        <v>0</v>
      </c>
      <c r="S11" s="349">
        <f t="shared" si="4"/>
        <v>52</v>
      </c>
      <c r="T11" s="344">
        <f>26*2</f>
        <v>52</v>
      </c>
      <c r="U11" s="350"/>
      <c r="V11" s="336">
        <f t="shared" si="5"/>
        <v>31.5</v>
      </c>
      <c r="W11" s="351">
        <v>31.5</v>
      </c>
      <c r="X11" s="352"/>
      <c r="Y11" s="353">
        <f t="shared" si="6"/>
        <v>30</v>
      </c>
      <c r="Z11" s="351">
        <v>30</v>
      </c>
      <c r="AA11" s="352"/>
      <c r="AB11" s="353">
        <f t="shared" si="7"/>
        <v>0</v>
      </c>
      <c r="AC11" s="351">
        <v>0</v>
      </c>
      <c r="AD11" s="354"/>
      <c r="AE11" s="355">
        <f t="shared" si="8"/>
        <v>0</v>
      </c>
      <c r="AF11" s="287">
        <f t="shared" si="9"/>
        <v>0</v>
      </c>
      <c r="AG11" s="288">
        <f t="shared" si="10"/>
        <v>0</v>
      </c>
      <c r="AH11" s="356"/>
      <c r="AI11" s="288"/>
      <c r="AJ11" s="289"/>
    </row>
    <row r="12" spans="2:36" ht="21.75" customHeight="1">
      <c r="B12" s="423" t="s">
        <v>30</v>
      </c>
      <c r="C12" s="680">
        <f t="shared" si="11"/>
        <v>575</v>
      </c>
      <c r="D12" s="246">
        <f>575-25</f>
        <v>550</v>
      </c>
      <c r="E12" s="247">
        <f>50-25</f>
        <v>25</v>
      </c>
      <c r="F12" s="693">
        <v>12.1</v>
      </c>
      <c r="G12" s="681">
        <f t="shared" si="12"/>
        <v>6957.5</v>
      </c>
      <c r="H12" s="581">
        <f t="shared" si="13"/>
        <v>6655</v>
      </c>
      <c r="I12" s="682">
        <f t="shared" si="14"/>
        <v>302.5</v>
      </c>
      <c r="M12" s="345">
        <f t="shared" si="0"/>
        <v>0</v>
      </c>
      <c r="N12" s="287">
        <f t="shared" si="1"/>
        <v>0</v>
      </c>
      <c r="O12" s="289">
        <f t="shared" si="2"/>
        <v>0</v>
      </c>
      <c r="P12" s="346">
        <f t="shared" si="3"/>
        <v>50</v>
      </c>
      <c r="Q12" s="347">
        <v>45</v>
      </c>
      <c r="R12" s="348">
        <v>5</v>
      </c>
      <c r="S12" s="349">
        <f t="shared" si="4"/>
        <v>20</v>
      </c>
      <c r="T12" s="344">
        <f>10*2</f>
        <v>20</v>
      </c>
      <c r="U12" s="350"/>
      <c r="V12" s="336">
        <f t="shared" si="5"/>
        <v>31.5</v>
      </c>
      <c r="W12" s="351">
        <v>31.5</v>
      </c>
      <c r="X12" s="352"/>
      <c r="Y12" s="353">
        <f t="shared" si="6"/>
        <v>30</v>
      </c>
      <c r="Z12" s="351">
        <v>30</v>
      </c>
      <c r="AA12" s="352"/>
      <c r="AB12" s="353">
        <f t="shared" si="7"/>
        <v>37</v>
      </c>
      <c r="AC12" s="351">
        <v>37</v>
      </c>
      <c r="AD12" s="354"/>
      <c r="AE12" s="355">
        <f t="shared" si="8"/>
        <v>49.33333333333333</v>
      </c>
      <c r="AF12" s="287">
        <f t="shared" si="9"/>
        <v>49.33333333333333</v>
      </c>
      <c r="AG12" s="288">
        <f t="shared" si="10"/>
        <v>0</v>
      </c>
      <c r="AH12" s="356"/>
      <c r="AI12" s="288"/>
      <c r="AJ12" s="289"/>
    </row>
    <row r="13" spans="2:36" ht="24" customHeight="1">
      <c r="B13" s="423" t="s">
        <v>32</v>
      </c>
      <c r="C13" s="680">
        <f t="shared" si="11"/>
        <v>190</v>
      </c>
      <c r="D13" s="246">
        <v>150</v>
      </c>
      <c r="E13" s="247">
        <f>50-10</f>
        <v>40</v>
      </c>
      <c r="F13" s="693">
        <v>8.9</v>
      </c>
      <c r="G13" s="681">
        <f t="shared" si="12"/>
        <v>1691</v>
      </c>
      <c r="H13" s="581">
        <f t="shared" si="13"/>
        <v>1335</v>
      </c>
      <c r="I13" s="682">
        <f t="shared" si="14"/>
        <v>356</v>
      </c>
      <c r="M13" s="345">
        <f t="shared" si="0"/>
        <v>0</v>
      </c>
      <c r="N13" s="287">
        <f t="shared" si="1"/>
        <v>0</v>
      </c>
      <c r="O13" s="289">
        <f t="shared" si="2"/>
        <v>0</v>
      </c>
      <c r="P13" s="346">
        <f t="shared" si="3"/>
        <v>500</v>
      </c>
      <c r="Q13" s="347">
        <f>N13/3</f>
        <v>0</v>
      </c>
      <c r="R13" s="348">
        <v>500</v>
      </c>
      <c r="S13" s="349">
        <f t="shared" si="4"/>
        <v>610</v>
      </c>
      <c r="T13" s="344"/>
      <c r="U13" s="350">
        <f>305*2</f>
        <v>610</v>
      </c>
      <c r="V13" s="336">
        <f t="shared" si="5"/>
        <v>388.5</v>
      </c>
      <c r="W13" s="351"/>
      <c r="X13" s="352">
        <v>388.5</v>
      </c>
      <c r="Y13" s="353">
        <f t="shared" si="6"/>
        <v>480</v>
      </c>
      <c r="Z13" s="351"/>
      <c r="AA13" s="352">
        <v>480</v>
      </c>
      <c r="AB13" s="353">
        <f t="shared" si="7"/>
        <v>178</v>
      </c>
      <c r="AC13" s="351"/>
      <c r="AD13" s="354">
        <v>178</v>
      </c>
      <c r="AE13" s="355">
        <f t="shared" si="8"/>
        <v>237.33333333333334</v>
      </c>
      <c r="AF13" s="287">
        <f t="shared" si="9"/>
        <v>0</v>
      </c>
      <c r="AG13" s="288">
        <f t="shared" si="10"/>
        <v>237.33333333333334</v>
      </c>
      <c r="AH13" s="356"/>
      <c r="AI13" s="288"/>
      <c r="AJ13" s="289"/>
    </row>
    <row r="14" spans="2:36" ht="21.75" customHeight="1">
      <c r="B14" s="423" t="s">
        <v>83</v>
      </c>
      <c r="C14" s="680">
        <f t="shared" si="11"/>
        <v>150</v>
      </c>
      <c r="D14" s="246">
        <v>150</v>
      </c>
      <c r="E14" s="247"/>
      <c r="F14" s="693">
        <v>11</v>
      </c>
      <c r="G14" s="681">
        <f t="shared" si="12"/>
        <v>1650</v>
      </c>
      <c r="H14" s="581">
        <f t="shared" si="13"/>
        <v>1650</v>
      </c>
      <c r="I14" s="682">
        <f t="shared" si="14"/>
        <v>0</v>
      </c>
      <c r="M14" s="345">
        <f t="shared" si="0"/>
        <v>0</v>
      </c>
      <c r="N14" s="287">
        <f t="shared" si="1"/>
        <v>0</v>
      </c>
      <c r="O14" s="289">
        <f t="shared" si="2"/>
        <v>0</v>
      </c>
      <c r="P14" s="346">
        <f t="shared" si="3"/>
        <v>568.1</v>
      </c>
      <c r="Q14" s="347">
        <v>568.1</v>
      </c>
      <c r="R14" s="348">
        <f>O14/3</f>
        <v>0</v>
      </c>
      <c r="S14" s="349">
        <f t="shared" si="4"/>
        <v>412</v>
      </c>
      <c r="T14" s="344">
        <f>206*2</f>
        <v>412</v>
      </c>
      <c r="U14" s="350"/>
      <c r="V14" s="336">
        <f t="shared" si="5"/>
        <v>444</v>
      </c>
      <c r="W14" s="351">
        <v>444</v>
      </c>
      <c r="X14" s="352"/>
      <c r="Y14" s="353">
        <f t="shared" si="6"/>
        <v>480</v>
      </c>
      <c r="Z14" s="351">
        <v>480</v>
      </c>
      <c r="AA14" s="352"/>
      <c r="AB14" s="353">
        <f t="shared" si="7"/>
        <v>309</v>
      </c>
      <c r="AC14" s="351">
        <v>309</v>
      </c>
      <c r="AD14" s="354"/>
      <c r="AE14" s="355">
        <f t="shared" si="8"/>
        <v>412</v>
      </c>
      <c r="AF14" s="287">
        <f t="shared" si="9"/>
        <v>412</v>
      </c>
      <c r="AG14" s="288">
        <f t="shared" si="10"/>
        <v>0</v>
      </c>
      <c r="AH14" s="356"/>
      <c r="AI14" s="288"/>
      <c r="AJ14" s="289"/>
    </row>
    <row r="15" spans="2:36" ht="21.75" customHeight="1">
      <c r="B15" s="423" t="s">
        <v>33</v>
      </c>
      <c r="C15" s="680">
        <f t="shared" si="11"/>
        <v>100</v>
      </c>
      <c r="D15" s="246">
        <v>100</v>
      </c>
      <c r="E15" s="247"/>
      <c r="F15" s="693">
        <v>8.9</v>
      </c>
      <c r="G15" s="681">
        <f t="shared" si="12"/>
        <v>890</v>
      </c>
      <c r="H15" s="581">
        <f t="shared" si="13"/>
        <v>890</v>
      </c>
      <c r="I15" s="682">
        <f t="shared" si="14"/>
        <v>0</v>
      </c>
      <c r="M15" s="345">
        <f t="shared" si="0"/>
        <v>0</v>
      </c>
      <c r="N15" s="287">
        <f t="shared" si="1"/>
        <v>0</v>
      </c>
      <c r="O15" s="289">
        <f t="shared" si="2"/>
        <v>0</v>
      </c>
      <c r="P15" s="346">
        <f t="shared" si="3"/>
        <v>135.3</v>
      </c>
      <c r="Q15" s="347">
        <f>N15/3</f>
        <v>0</v>
      </c>
      <c r="R15" s="348">
        <v>135.3</v>
      </c>
      <c r="S15" s="349">
        <f t="shared" si="4"/>
        <v>102</v>
      </c>
      <c r="T15" s="344"/>
      <c r="U15" s="350">
        <f>51*2</f>
        <v>102</v>
      </c>
      <c r="V15" s="336">
        <f t="shared" si="5"/>
        <v>88.5</v>
      </c>
      <c r="W15" s="351"/>
      <c r="X15" s="352">
        <v>88.5</v>
      </c>
      <c r="Y15" s="353">
        <f t="shared" si="6"/>
        <v>111</v>
      </c>
      <c r="Z15" s="351"/>
      <c r="AA15" s="352">
        <v>111</v>
      </c>
      <c r="AB15" s="353">
        <f t="shared" si="7"/>
        <v>57</v>
      </c>
      <c r="AC15" s="351"/>
      <c r="AD15" s="354">
        <v>57</v>
      </c>
      <c r="AE15" s="355">
        <f t="shared" si="8"/>
        <v>76</v>
      </c>
      <c r="AF15" s="287">
        <f t="shared" si="9"/>
        <v>0</v>
      </c>
      <c r="AG15" s="288">
        <f t="shared" si="10"/>
        <v>76</v>
      </c>
      <c r="AH15" s="356"/>
      <c r="AI15" s="288"/>
      <c r="AJ15" s="289"/>
    </row>
    <row r="16" spans="2:36" ht="20.25" customHeight="1">
      <c r="B16" s="423" t="s">
        <v>75</v>
      </c>
      <c r="C16" s="680">
        <f t="shared" si="11"/>
        <v>339</v>
      </c>
      <c r="D16" s="246">
        <v>339</v>
      </c>
      <c r="E16" s="247"/>
      <c r="F16" s="693">
        <v>6.3</v>
      </c>
      <c r="G16" s="681">
        <f t="shared" si="12"/>
        <v>2135.7</v>
      </c>
      <c r="H16" s="581">
        <f t="shared" si="13"/>
        <v>2135.7</v>
      </c>
      <c r="I16" s="682">
        <f t="shared" si="14"/>
        <v>0</v>
      </c>
      <c r="M16" s="357">
        <f t="shared" si="0"/>
        <v>0</v>
      </c>
      <c r="N16" s="358">
        <f t="shared" si="1"/>
        <v>0</v>
      </c>
      <c r="O16" s="359">
        <f t="shared" si="2"/>
        <v>0</v>
      </c>
      <c r="P16" s="360">
        <f t="shared" si="3"/>
        <v>243.7</v>
      </c>
      <c r="Q16" s="361">
        <v>243.7</v>
      </c>
      <c r="R16" s="362">
        <f>O16/3</f>
        <v>0</v>
      </c>
      <c r="S16" s="349">
        <f t="shared" si="4"/>
        <v>280</v>
      </c>
      <c r="T16" s="344">
        <f>140*2</f>
        <v>280</v>
      </c>
      <c r="U16" s="350"/>
      <c r="V16" s="336">
        <f t="shared" si="5"/>
        <v>256.5</v>
      </c>
      <c r="W16" s="351">
        <v>253.5</v>
      </c>
      <c r="X16" s="352">
        <v>3</v>
      </c>
      <c r="Y16" s="353">
        <f t="shared" si="6"/>
        <v>250</v>
      </c>
      <c r="Z16" s="351">
        <v>250</v>
      </c>
      <c r="AA16" s="352"/>
      <c r="AB16" s="353">
        <f t="shared" si="7"/>
        <v>185</v>
      </c>
      <c r="AC16" s="351">
        <v>185</v>
      </c>
      <c r="AD16" s="354"/>
      <c r="AE16" s="355">
        <f t="shared" si="8"/>
        <v>246.66666666666669</v>
      </c>
      <c r="AF16" s="287">
        <f t="shared" si="9"/>
        <v>246.66666666666669</v>
      </c>
      <c r="AG16" s="288">
        <f t="shared" si="10"/>
        <v>0</v>
      </c>
      <c r="AH16" s="356"/>
      <c r="AI16" s="288"/>
      <c r="AJ16" s="289"/>
    </row>
    <row r="17" spans="2:36" ht="30" customHeight="1">
      <c r="B17" s="423" t="s">
        <v>165</v>
      </c>
      <c r="C17" s="680">
        <f t="shared" si="11"/>
        <v>150</v>
      </c>
      <c r="D17" s="246">
        <v>150</v>
      </c>
      <c r="E17" s="247"/>
      <c r="F17" s="693">
        <v>7.7</v>
      </c>
      <c r="G17" s="681">
        <f t="shared" si="12"/>
        <v>1155</v>
      </c>
      <c r="H17" s="581">
        <f t="shared" si="13"/>
        <v>1155</v>
      </c>
      <c r="I17" s="682">
        <f t="shared" si="14"/>
        <v>0</v>
      </c>
      <c r="M17" s="345">
        <f t="shared" si="0"/>
        <v>0</v>
      </c>
      <c r="N17" s="287">
        <f t="shared" si="1"/>
        <v>0</v>
      </c>
      <c r="O17" s="289">
        <f t="shared" si="2"/>
        <v>0</v>
      </c>
      <c r="P17" s="346">
        <f t="shared" si="3"/>
        <v>134</v>
      </c>
      <c r="Q17" s="347">
        <v>134</v>
      </c>
      <c r="R17" s="348">
        <f>O17/3</f>
        <v>0</v>
      </c>
      <c r="S17" s="349">
        <f t="shared" si="4"/>
        <v>196</v>
      </c>
      <c r="T17" s="344">
        <f>98*2</f>
        <v>196</v>
      </c>
      <c r="U17" s="350"/>
      <c r="V17" s="336">
        <f t="shared" si="5"/>
        <v>159</v>
      </c>
      <c r="W17" s="351">
        <v>159</v>
      </c>
      <c r="X17" s="352"/>
      <c r="Y17" s="353">
        <f t="shared" si="6"/>
        <v>141</v>
      </c>
      <c r="Z17" s="351">
        <v>141</v>
      </c>
      <c r="AA17" s="352"/>
      <c r="AB17" s="353">
        <f t="shared" si="7"/>
        <v>95</v>
      </c>
      <c r="AC17" s="351">
        <v>95</v>
      </c>
      <c r="AD17" s="354"/>
      <c r="AE17" s="355">
        <f t="shared" si="8"/>
        <v>126.66666666666666</v>
      </c>
      <c r="AF17" s="287">
        <f t="shared" si="9"/>
        <v>126.66666666666666</v>
      </c>
      <c r="AG17" s="288">
        <f t="shared" si="10"/>
        <v>0</v>
      </c>
      <c r="AH17" s="356"/>
      <c r="AI17" s="288"/>
      <c r="AJ17" s="289"/>
    </row>
    <row r="18" spans="2:36" ht="19.5" customHeight="1">
      <c r="B18" s="423" t="s">
        <v>55</v>
      </c>
      <c r="C18" s="680">
        <f t="shared" si="11"/>
        <v>100</v>
      </c>
      <c r="D18" s="246">
        <v>70</v>
      </c>
      <c r="E18" s="247">
        <v>30</v>
      </c>
      <c r="F18" s="693">
        <v>7.6</v>
      </c>
      <c r="G18" s="681">
        <f t="shared" si="12"/>
        <v>760</v>
      </c>
      <c r="H18" s="581">
        <f t="shared" si="13"/>
        <v>532</v>
      </c>
      <c r="I18" s="682">
        <f t="shared" si="14"/>
        <v>228</v>
      </c>
      <c r="M18" s="345">
        <f t="shared" si="0"/>
        <v>0</v>
      </c>
      <c r="N18" s="287">
        <f aca="true" t="shared" si="15" ref="N18:N31">K18/3</f>
        <v>0</v>
      </c>
      <c r="O18" s="289">
        <f>L18/1</f>
        <v>0</v>
      </c>
      <c r="P18" s="346">
        <f t="shared" si="3"/>
        <v>74.7</v>
      </c>
      <c r="Q18" s="347">
        <v>61</v>
      </c>
      <c r="R18" s="348">
        <v>13.7</v>
      </c>
      <c r="S18" s="349">
        <f t="shared" si="4"/>
        <v>96</v>
      </c>
      <c r="T18" s="344">
        <f>45*2</f>
        <v>90</v>
      </c>
      <c r="U18" s="350">
        <f>3*2</f>
        <v>6</v>
      </c>
      <c r="V18" s="336">
        <f t="shared" si="5"/>
        <v>106.5</v>
      </c>
      <c r="W18" s="351">
        <v>97.5</v>
      </c>
      <c r="X18" s="352">
        <v>9</v>
      </c>
      <c r="Y18" s="353">
        <f t="shared" si="6"/>
        <v>96</v>
      </c>
      <c r="Z18" s="351">
        <v>87</v>
      </c>
      <c r="AA18" s="352">
        <v>9</v>
      </c>
      <c r="AB18" s="353">
        <f t="shared" si="7"/>
        <v>90</v>
      </c>
      <c r="AC18" s="351">
        <v>75</v>
      </c>
      <c r="AD18" s="354">
        <v>15</v>
      </c>
      <c r="AE18" s="355">
        <f t="shared" si="8"/>
        <v>120</v>
      </c>
      <c r="AF18" s="287">
        <f t="shared" si="9"/>
        <v>100</v>
      </c>
      <c r="AG18" s="288">
        <f t="shared" si="10"/>
        <v>20</v>
      </c>
      <c r="AH18" s="356"/>
      <c r="AI18" s="288"/>
      <c r="AJ18" s="289"/>
    </row>
    <row r="19" spans="2:36" ht="19.5" customHeight="1" hidden="1">
      <c r="B19" s="423" t="s">
        <v>38</v>
      </c>
      <c r="C19" s="680">
        <f t="shared" si="11"/>
        <v>0</v>
      </c>
      <c r="D19" s="246"/>
      <c r="E19" s="247"/>
      <c r="F19" s="693"/>
      <c r="G19" s="681">
        <f t="shared" si="12"/>
        <v>0</v>
      </c>
      <c r="H19" s="581">
        <f t="shared" si="13"/>
        <v>0</v>
      </c>
      <c r="I19" s="682">
        <f t="shared" si="14"/>
        <v>0</v>
      </c>
      <c r="M19" s="357">
        <f t="shared" si="0"/>
        <v>0</v>
      </c>
      <c r="N19" s="358">
        <f t="shared" si="15"/>
        <v>0</v>
      </c>
      <c r="O19" s="359">
        <f>L19/1</f>
        <v>0</v>
      </c>
      <c r="P19" s="360">
        <f t="shared" si="3"/>
        <v>308.59999999999997</v>
      </c>
      <c r="Q19" s="361">
        <v>265.4</v>
      </c>
      <c r="R19" s="362">
        <v>43.2</v>
      </c>
      <c r="S19" s="349">
        <f t="shared" si="4"/>
        <v>178</v>
      </c>
      <c r="T19" s="344">
        <f>54*2</f>
        <v>108</v>
      </c>
      <c r="U19" s="350">
        <f>35*2</f>
        <v>70</v>
      </c>
      <c r="V19" s="336">
        <f t="shared" si="5"/>
        <v>163.5</v>
      </c>
      <c r="W19" s="351">
        <v>100.5</v>
      </c>
      <c r="X19" s="352">
        <v>63</v>
      </c>
      <c r="Y19" s="353">
        <f t="shared" si="6"/>
        <v>93</v>
      </c>
      <c r="Z19" s="351">
        <v>50</v>
      </c>
      <c r="AA19" s="352">
        <v>43</v>
      </c>
      <c r="AB19" s="353">
        <f t="shared" si="7"/>
        <v>50</v>
      </c>
      <c r="AC19" s="351">
        <v>31</v>
      </c>
      <c r="AD19" s="354">
        <v>19</v>
      </c>
      <c r="AE19" s="355">
        <f t="shared" si="8"/>
        <v>66.66666666666667</v>
      </c>
      <c r="AF19" s="287">
        <f t="shared" si="9"/>
        <v>41.333333333333336</v>
      </c>
      <c r="AG19" s="288">
        <f t="shared" si="10"/>
        <v>25.333333333333336</v>
      </c>
      <c r="AH19" s="356"/>
      <c r="AI19" s="288"/>
      <c r="AJ19" s="289"/>
    </row>
    <row r="20" spans="2:36" ht="24" customHeight="1">
      <c r="B20" s="423" t="s">
        <v>39</v>
      </c>
      <c r="C20" s="680">
        <f t="shared" si="11"/>
        <v>100</v>
      </c>
      <c r="D20" s="246">
        <v>100</v>
      </c>
      <c r="E20" s="247"/>
      <c r="F20" s="693">
        <v>12.3</v>
      </c>
      <c r="G20" s="681">
        <f t="shared" si="12"/>
        <v>1230</v>
      </c>
      <c r="H20" s="581">
        <f t="shared" si="13"/>
        <v>1230</v>
      </c>
      <c r="I20" s="682">
        <f t="shared" si="14"/>
        <v>0</v>
      </c>
      <c r="M20" s="357">
        <f t="shared" si="0"/>
        <v>0</v>
      </c>
      <c r="N20" s="358">
        <f t="shared" si="15"/>
        <v>0</v>
      </c>
      <c r="O20" s="359">
        <f>L20/3</f>
        <v>0</v>
      </c>
      <c r="P20" s="360">
        <f t="shared" si="3"/>
        <v>49.6</v>
      </c>
      <c r="Q20" s="361">
        <v>49.6</v>
      </c>
      <c r="R20" s="362">
        <f>O20/3</f>
        <v>0</v>
      </c>
      <c r="S20" s="349">
        <f t="shared" si="4"/>
        <v>64</v>
      </c>
      <c r="T20" s="344">
        <f>32*2</f>
        <v>64</v>
      </c>
      <c r="U20" s="350"/>
      <c r="V20" s="336">
        <f t="shared" si="5"/>
        <v>48</v>
      </c>
      <c r="W20" s="351">
        <v>48</v>
      </c>
      <c r="X20" s="352"/>
      <c r="Y20" s="353">
        <f t="shared" si="6"/>
        <v>50</v>
      </c>
      <c r="Z20" s="351">
        <v>50</v>
      </c>
      <c r="AA20" s="352"/>
      <c r="AB20" s="353">
        <f t="shared" si="7"/>
        <v>39</v>
      </c>
      <c r="AC20" s="351">
        <v>39</v>
      </c>
      <c r="AD20" s="354"/>
      <c r="AE20" s="355">
        <f t="shared" si="8"/>
        <v>52</v>
      </c>
      <c r="AF20" s="287">
        <f t="shared" si="9"/>
        <v>52</v>
      </c>
      <c r="AG20" s="288">
        <f t="shared" si="10"/>
        <v>0</v>
      </c>
      <c r="AH20" s="356"/>
      <c r="AI20" s="288"/>
      <c r="AJ20" s="289"/>
    </row>
    <row r="21" spans="2:36" ht="15" customHeight="1" hidden="1">
      <c r="B21" s="423" t="s">
        <v>35</v>
      </c>
      <c r="C21" s="680">
        <f t="shared" si="11"/>
        <v>0</v>
      </c>
      <c r="D21" s="246"/>
      <c r="E21" s="247"/>
      <c r="F21" s="583"/>
      <c r="G21" s="681">
        <f t="shared" si="12"/>
        <v>0</v>
      </c>
      <c r="H21" s="581">
        <f t="shared" si="13"/>
        <v>0</v>
      </c>
      <c r="I21" s="682">
        <f t="shared" si="14"/>
        <v>0</v>
      </c>
      <c r="M21" s="345">
        <f t="shared" si="0"/>
        <v>0</v>
      </c>
      <c r="N21" s="287">
        <f t="shared" si="15"/>
        <v>0</v>
      </c>
      <c r="O21" s="289">
        <f>L21/3</f>
        <v>0</v>
      </c>
      <c r="P21" s="346">
        <f t="shared" si="3"/>
        <v>699.2</v>
      </c>
      <c r="Q21" s="347">
        <v>699.2</v>
      </c>
      <c r="R21" s="348">
        <f>O21/3</f>
        <v>0</v>
      </c>
      <c r="S21" s="349">
        <f t="shared" si="4"/>
        <v>834</v>
      </c>
      <c r="T21" s="344">
        <f>417*2</f>
        <v>834</v>
      </c>
      <c r="U21" s="350"/>
      <c r="V21" s="336">
        <f t="shared" si="5"/>
        <v>504</v>
      </c>
      <c r="W21" s="351">
        <v>504</v>
      </c>
      <c r="X21" s="352"/>
      <c r="Y21" s="353">
        <f t="shared" si="6"/>
        <v>630</v>
      </c>
      <c r="Z21" s="351">
        <v>630</v>
      </c>
      <c r="AA21" s="352"/>
      <c r="AB21" s="353">
        <f t="shared" si="7"/>
        <v>334</v>
      </c>
      <c r="AC21" s="351">
        <v>334</v>
      </c>
      <c r="AD21" s="354"/>
      <c r="AE21" s="355">
        <f t="shared" si="8"/>
        <v>445.33333333333337</v>
      </c>
      <c r="AF21" s="287">
        <f t="shared" si="9"/>
        <v>445.33333333333337</v>
      </c>
      <c r="AG21" s="288">
        <f t="shared" si="10"/>
        <v>0</v>
      </c>
      <c r="AH21" s="356"/>
      <c r="AI21" s="288"/>
      <c r="AJ21" s="289"/>
    </row>
    <row r="22" spans="2:36" ht="24" customHeight="1" thickBot="1">
      <c r="B22" s="423" t="s">
        <v>84</v>
      </c>
      <c r="C22" s="680">
        <f t="shared" si="11"/>
        <v>58</v>
      </c>
      <c r="D22" s="246">
        <v>58</v>
      </c>
      <c r="E22" s="247"/>
      <c r="F22" s="583"/>
      <c r="G22" s="681">
        <f t="shared" si="12"/>
        <v>0</v>
      </c>
      <c r="H22" s="581">
        <f t="shared" si="13"/>
        <v>0</v>
      </c>
      <c r="I22" s="682">
        <f t="shared" si="14"/>
        <v>0</v>
      </c>
      <c r="M22" s="345">
        <f t="shared" si="0"/>
        <v>0</v>
      </c>
      <c r="N22" s="287">
        <f t="shared" si="15"/>
        <v>0</v>
      </c>
      <c r="O22" s="289">
        <f>L22/1</f>
        <v>0</v>
      </c>
      <c r="P22" s="346">
        <f t="shared" si="3"/>
        <v>308.5</v>
      </c>
      <c r="Q22" s="347">
        <v>184.2</v>
      </c>
      <c r="R22" s="348">
        <v>124.3</v>
      </c>
      <c r="S22" s="349">
        <f t="shared" si="4"/>
        <v>288</v>
      </c>
      <c r="T22" s="344">
        <f>96*2</f>
        <v>192</v>
      </c>
      <c r="U22" s="350">
        <f>48*2</f>
        <v>96</v>
      </c>
      <c r="V22" s="336">
        <f t="shared" si="5"/>
        <v>253.5</v>
      </c>
      <c r="W22" s="351">
        <v>171</v>
      </c>
      <c r="X22" s="352">
        <v>82.5</v>
      </c>
      <c r="Y22" s="353">
        <f t="shared" si="6"/>
        <v>315</v>
      </c>
      <c r="Z22" s="351">
        <v>235</v>
      </c>
      <c r="AA22" s="352">
        <v>80</v>
      </c>
      <c r="AB22" s="353">
        <f t="shared" si="7"/>
        <v>185</v>
      </c>
      <c r="AC22" s="351">
        <v>123</v>
      </c>
      <c r="AD22" s="354">
        <v>62</v>
      </c>
      <c r="AE22" s="355">
        <f t="shared" si="8"/>
        <v>246.66666666666669</v>
      </c>
      <c r="AF22" s="287">
        <f t="shared" si="9"/>
        <v>164</v>
      </c>
      <c r="AG22" s="288">
        <f t="shared" si="10"/>
        <v>82.66666666666667</v>
      </c>
      <c r="AH22" s="356"/>
      <c r="AI22" s="288"/>
      <c r="AJ22" s="289"/>
    </row>
    <row r="23" spans="2:36" ht="19.5" customHeight="1" hidden="1" thickBot="1">
      <c r="B23" s="424" t="s">
        <v>85</v>
      </c>
      <c r="C23" s="683">
        <f t="shared" si="11"/>
        <v>0</v>
      </c>
      <c r="D23" s="256"/>
      <c r="E23" s="259"/>
      <c r="F23" s="584"/>
      <c r="G23" s="684">
        <f t="shared" si="12"/>
        <v>0</v>
      </c>
      <c r="H23" s="585"/>
      <c r="I23" s="685"/>
      <c r="M23" s="345">
        <f t="shared" si="0"/>
        <v>0</v>
      </c>
      <c r="N23" s="287">
        <f t="shared" si="15"/>
        <v>0</v>
      </c>
      <c r="O23" s="289">
        <f>L23/1</f>
        <v>0</v>
      </c>
      <c r="P23" s="346">
        <f t="shared" si="3"/>
        <v>89.9</v>
      </c>
      <c r="Q23" s="347">
        <v>73.7</v>
      </c>
      <c r="R23" s="348">
        <v>16.2</v>
      </c>
      <c r="S23" s="349">
        <f t="shared" si="4"/>
        <v>64</v>
      </c>
      <c r="T23" s="344">
        <f>31*2</f>
        <v>62</v>
      </c>
      <c r="U23" s="350">
        <f>1*2</f>
        <v>2</v>
      </c>
      <c r="V23" s="336">
        <f t="shared" si="5"/>
        <v>55.5</v>
      </c>
      <c r="W23" s="351">
        <v>43.5</v>
      </c>
      <c r="X23" s="352">
        <v>12</v>
      </c>
      <c r="Y23" s="353">
        <f t="shared" si="6"/>
        <v>77</v>
      </c>
      <c r="Z23" s="351">
        <v>67</v>
      </c>
      <c r="AA23" s="352">
        <v>10</v>
      </c>
      <c r="AB23" s="353">
        <f t="shared" si="7"/>
        <v>0</v>
      </c>
      <c r="AC23" s="351"/>
      <c r="AD23" s="354"/>
      <c r="AE23" s="355">
        <f t="shared" si="8"/>
        <v>0</v>
      </c>
      <c r="AF23" s="287">
        <f t="shared" si="9"/>
        <v>0</v>
      </c>
      <c r="AG23" s="288">
        <f t="shared" si="10"/>
        <v>0</v>
      </c>
      <c r="AH23" s="356"/>
      <c r="AI23" s="288"/>
      <c r="AJ23" s="289"/>
    </row>
    <row r="24" spans="2:36" ht="31.5" customHeight="1" thickBot="1">
      <c r="B24" s="679" t="s">
        <v>299</v>
      </c>
      <c r="C24" s="686">
        <f t="shared" si="11"/>
        <v>2479</v>
      </c>
      <c r="D24" s="687">
        <f>SUM(D10:D23)</f>
        <v>2267</v>
      </c>
      <c r="E24" s="688">
        <f>SUM(E10:E23)</f>
        <v>212</v>
      </c>
      <c r="F24" s="582">
        <f>SUM(F10:F23)/11</f>
        <v>8.499999999999998</v>
      </c>
      <c r="G24" s="261">
        <f t="shared" si="12"/>
        <v>23535.4</v>
      </c>
      <c r="H24" s="586">
        <f>SUM(H10:H23)</f>
        <v>21642.7</v>
      </c>
      <c r="I24" s="689">
        <f>SUM(I10:I23)</f>
        <v>1892.6999999999998</v>
      </c>
      <c r="M24" s="345">
        <f t="shared" si="0"/>
        <v>0</v>
      </c>
      <c r="N24" s="287">
        <f t="shared" si="15"/>
        <v>0</v>
      </c>
      <c r="O24" s="289">
        <f>L24/3</f>
        <v>0</v>
      </c>
      <c r="P24" s="346">
        <f t="shared" si="3"/>
        <v>333.3</v>
      </c>
      <c r="Q24" s="347">
        <v>333.3</v>
      </c>
      <c r="R24" s="348">
        <f>O24/3</f>
        <v>0</v>
      </c>
      <c r="S24" s="349">
        <f t="shared" si="4"/>
        <v>416</v>
      </c>
      <c r="T24" s="344">
        <f>208*2</f>
        <v>416</v>
      </c>
      <c r="U24" s="350"/>
      <c r="V24" s="336">
        <f t="shared" si="5"/>
        <v>438</v>
      </c>
      <c r="W24" s="351">
        <v>436.5</v>
      </c>
      <c r="X24" s="352">
        <v>1.5</v>
      </c>
      <c r="Y24" s="353">
        <f t="shared" si="6"/>
        <v>305</v>
      </c>
      <c r="Z24" s="351">
        <v>305</v>
      </c>
      <c r="AA24" s="352"/>
      <c r="AB24" s="353">
        <f t="shared" si="7"/>
        <v>289</v>
      </c>
      <c r="AC24" s="351">
        <v>289</v>
      </c>
      <c r="AD24" s="354"/>
      <c r="AE24" s="355">
        <f t="shared" si="8"/>
        <v>385.33333333333337</v>
      </c>
      <c r="AF24" s="287">
        <f t="shared" si="9"/>
        <v>385.33333333333337</v>
      </c>
      <c r="AG24" s="288">
        <f t="shared" si="10"/>
        <v>0</v>
      </c>
      <c r="AH24" s="356"/>
      <c r="AI24" s="288"/>
      <c r="AJ24" s="289"/>
    </row>
    <row r="25" spans="2:36" ht="31.5" customHeight="1" hidden="1" thickBot="1">
      <c r="B25" s="772"/>
      <c r="C25" s="686">
        <f>2572-C26</f>
        <v>2479</v>
      </c>
      <c r="D25" s="687"/>
      <c r="E25" s="773"/>
      <c r="F25" s="774"/>
      <c r="G25" s="690"/>
      <c r="H25" s="775"/>
      <c r="I25" s="692"/>
      <c r="M25" s="345"/>
      <c r="N25" s="287"/>
      <c r="O25" s="289"/>
      <c r="P25" s="346"/>
      <c r="Q25" s="347"/>
      <c r="R25" s="348"/>
      <c r="S25" s="349"/>
      <c r="T25" s="344"/>
      <c r="U25" s="350"/>
      <c r="V25" s="336"/>
      <c r="W25" s="351"/>
      <c r="X25" s="352"/>
      <c r="Y25" s="353"/>
      <c r="Z25" s="351"/>
      <c r="AA25" s="352"/>
      <c r="AB25" s="353"/>
      <c r="AC25" s="351"/>
      <c r="AD25" s="354"/>
      <c r="AE25" s="355"/>
      <c r="AF25" s="287"/>
      <c r="AG25" s="288"/>
      <c r="AH25" s="356"/>
      <c r="AI25" s="288"/>
      <c r="AJ25" s="289"/>
    </row>
    <row r="26" spans="2:36" ht="31.5" customHeight="1" hidden="1" thickBot="1">
      <c r="B26" s="772" t="s">
        <v>309</v>
      </c>
      <c r="C26" s="686">
        <v>93</v>
      </c>
      <c r="D26" s="687"/>
      <c r="E26" s="773"/>
      <c r="F26" s="774"/>
      <c r="G26" s="690"/>
      <c r="H26" s="775"/>
      <c r="I26" s="692"/>
      <c r="M26" s="345"/>
      <c r="N26" s="287"/>
      <c r="O26" s="289"/>
      <c r="P26" s="346"/>
      <c r="Q26" s="347"/>
      <c r="R26" s="348"/>
      <c r="S26" s="349"/>
      <c r="T26" s="344"/>
      <c r="U26" s="350"/>
      <c r="V26" s="336"/>
      <c r="W26" s="351"/>
      <c r="X26" s="352"/>
      <c r="Y26" s="353"/>
      <c r="Z26" s="351"/>
      <c r="AA26" s="352"/>
      <c r="AB26" s="353"/>
      <c r="AC26" s="351"/>
      <c r="AD26" s="354"/>
      <c r="AE26" s="355"/>
      <c r="AF26" s="287"/>
      <c r="AG26" s="288"/>
      <c r="AH26" s="356"/>
      <c r="AI26" s="288"/>
      <c r="AJ26" s="289"/>
    </row>
    <row r="27" spans="2:36" ht="26.25" customHeight="1" thickBot="1">
      <c r="B27" s="426" t="s">
        <v>56</v>
      </c>
      <c r="C27" s="413">
        <f>'приложение 1'!M11</f>
        <v>20</v>
      </c>
      <c r="D27" s="262"/>
      <c r="E27" s="262"/>
      <c r="F27" s="416">
        <v>8.6</v>
      </c>
      <c r="G27" s="690">
        <f>C27*F27</f>
        <v>172</v>
      </c>
      <c r="H27" s="691"/>
      <c r="I27" s="692"/>
      <c r="M27" s="357">
        <f t="shared" si="0"/>
        <v>0</v>
      </c>
      <c r="N27" s="358">
        <f t="shared" si="15"/>
        <v>0</v>
      </c>
      <c r="O27" s="359">
        <f>L27/3</f>
        <v>0</v>
      </c>
      <c r="P27" s="360">
        <f t="shared" si="3"/>
        <v>43.8</v>
      </c>
      <c r="Q27" s="361">
        <v>43.8</v>
      </c>
      <c r="R27" s="362">
        <f>O27/3</f>
        <v>0</v>
      </c>
      <c r="S27" s="349">
        <f t="shared" si="4"/>
        <v>32</v>
      </c>
      <c r="T27" s="344">
        <f>16*2</f>
        <v>32</v>
      </c>
      <c r="U27" s="350"/>
      <c r="V27" s="336">
        <f t="shared" si="5"/>
        <v>36</v>
      </c>
      <c r="W27" s="351">
        <v>36</v>
      </c>
      <c r="X27" s="352"/>
      <c r="Y27" s="353">
        <f t="shared" si="6"/>
        <v>42</v>
      </c>
      <c r="Z27" s="351">
        <v>42</v>
      </c>
      <c r="AA27" s="352"/>
      <c r="AB27" s="353">
        <f t="shared" si="7"/>
        <v>18</v>
      </c>
      <c r="AC27" s="351">
        <v>18</v>
      </c>
      <c r="AD27" s="354"/>
      <c r="AE27" s="355">
        <f t="shared" si="8"/>
        <v>24</v>
      </c>
      <c r="AF27" s="287">
        <f t="shared" si="9"/>
        <v>24</v>
      </c>
      <c r="AG27" s="288">
        <f t="shared" si="10"/>
        <v>0</v>
      </c>
      <c r="AH27" s="356"/>
      <c r="AI27" s="288"/>
      <c r="AJ27" s="289"/>
    </row>
    <row r="28" spans="2:36" ht="42" customHeight="1" thickBot="1">
      <c r="B28" s="856" t="s">
        <v>57</v>
      </c>
      <c r="C28" s="857">
        <f>C25+C27</f>
        <v>2499</v>
      </c>
      <c r="D28" s="262"/>
      <c r="E28" s="262"/>
      <c r="F28" s="416"/>
      <c r="G28" s="261">
        <f>G24+G27</f>
        <v>23707.4</v>
      </c>
      <c r="H28" s="262"/>
      <c r="I28" s="689"/>
      <c r="M28" s="345">
        <f t="shared" si="0"/>
        <v>0</v>
      </c>
      <c r="N28" s="287">
        <f t="shared" si="15"/>
        <v>0</v>
      </c>
      <c r="O28" s="289">
        <f>L28/2</f>
        <v>0</v>
      </c>
      <c r="P28" s="346">
        <f t="shared" si="3"/>
        <v>1679.1</v>
      </c>
      <c r="Q28" s="347">
        <v>239.1</v>
      </c>
      <c r="R28" s="348">
        <v>1440</v>
      </c>
      <c r="S28" s="349">
        <f t="shared" si="4"/>
        <v>2150</v>
      </c>
      <c r="T28" s="344">
        <f>146*2</f>
        <v>292</v>
      </c>
      <c r="U28" s="350">
        <f>929*2</f>
        <v>1858</v>
      </c>
      <c r="V28" s="336">
        <f t="shared" si="5"/>
        <v>1981.5</v>
      </c>
      <c r="W28" s="351">
        <v>313.5</v>
      </c>
      <c r="X28" s="352">
        <v>1668</v>
      </c>
      <c r="Y28" s="353">
        <f t="shared" si="6"/>
        <v>1622</v>
      </c>
      <c r="Z28" s="351">
        <v>255</v>
      </c>
      <c r="AA28" s="352">
        <v>1367</v>
      </c>
      <c r="AB28" s="353">
        <f t="shared" si="7"/>
        <v>852</v>
      </c>
      <c r="AC28" s="351">
        <v>175</v>
      </c>
      <c r="AD28" s="354">
        <v>677</v>
      </c>
      <c r="AE28" s="355">
        <f t="shared" si="8"/>
        <v>1136</v>
      </c>
      <c r="AF28" s="287">
        <f t="shared" si="9"/>
        <v>233.33333333333331</v>
      </c>
      <c r="AG28" s="288">
        <f t="shared" si="10"/>
        <v>902.6666666666667</v>
      </c>
      <c r="AH28" s="356"/>
      <c r="AI28" s="288"/>
      <c r="AJ28" s="289"/>
    </row>
    <row r="29" spans="2:36" ht="30" customHeight="1">
      <c r="B29" s="1029"/>
      <c r="C29" s="1029"/>
      <c r="D29" s="427"/>
      <c r="E29" s="427"/>
      <c r="F29" s="427"/>
      <c r="G29" s="427"/>
      <c r="H29" s="427"/>
      <c r="I29" s="428"/>
      <c r="M29" s="357">
        <f t="shared" si="0"/>
        <v>0</v>
      </c>
      <c r="N29" s="358">
        <f t="shared" si="15"/>
        <v>0</v>
      </c>
      <c r="O29" s="359">
        <f>L29/3</f>
        <v>0</v>
      </c>
      <c r="P29" s="360">
        <f t="shared" si="3"/>
        <v>843.1</v>
      </c>
      <c r="Q29" s="361">
        <v>843.1</v>
      </c>
      <c r="R29" s="362">
        <f>O29/3</f>
        <v>0</v>
      </c>
      <c r="S29" s="349">
        <f t="shared" si="4"/>
        <v>924</v>
      </c>
      <c r="T29" s="344">
        <f>462*2</f>
        <v>924</v>
      </c>
      <c r="U29" s="350"/>
      <c r="V29" s="336">
        <f t="shared" si="5"/>
        <v>1216.5</v>
      </c>
      <c r="W29" s="351">
        <v>1216.5</v>
      </c>
      <c r="X29" s="352"/>
      <c r="Y29" s="353">
        <f t="shared" si="6"/>
        <v>830</v>
      </c>
      <c r="Z29" s="351">
        <v>830</v>
      </c>
      <c r="AA29" s="352"/>
      <c r="AB29" s="353">
        <f t="shared" si="7"/>
        <v>431</v>
      </c>
      <c r="AC29" s="351">
        <v>431</v>
      </c>
      <c r="AD29" s="354"/>
      <c r="AE29" s="355">
        <f t="shared" si="8"/>
        <v>574.6666666666666</v>
      </c>
      <c r="AF29" s="287">
        <f t="shared" si="9"/>
        <v>574.6666666666666</v>
      </c>
      <c r="AG29" s="288">
        <f t="shared" si="10"/>
        <v>0</v>
      </c>
      <c r="AH29" s="356"/>
      <c r="AI29" s="288"/>
      <c r="AJ29" s="289"/>
    </row>
    <row r="30" spans="2:36" ht="25.5" customHeight="1">
      <c r="B30" s="293"/>
      <c r="C30" s="429"/>
      <c r="D30" s="429"/>
      <c r="E30" s="429"/>
      <c r="F30" s="429"/>
      <c r="G30" s="429"/>
      <c r="H30" s="429"/>
      <c r="I30" s="430"/>
      <c r="M30" s="365">
        <f t="shared" si="0"/>
        <v>0</v>
      </c>
      <c r="N30" s="366">
        <f t="shared" si="15"/>
        <v>0</v>
      </c>
      <c r="O30" s="367">
        <f>L30/3</f>
        <v>0</v>
      </c>
      <c r="P30" s="368">
        <f t="shared" si="3"/>
        <v>445.3</v>
      </c>
      <c r="Q30" s="369">
        <v>445.3</v>
      </c>
      <c r="R30" s="370">
        <f>O30/3</f>
        <v>0</v>
      </c>
      <c r="S30" s="371">
        <f t="shared" si="4"/>
        <v>386</v>
      </c>
      <c r="T30" s="364">
        <f>193*2</f>
        <v>386</v>
      </c>
      <c r="U30" s="372"/>
      <c r="V30" s="373">
        <f t="shared" si="5"/>
        <v>981</v>
      </c>
      <c r="W30" s="374">
        <v>981</v>
      </c>
      <c r="X30" s="375"/>
      <c r="Y30" s="353">
        <f t="shared" si="6"/>
        <v>369</v>
      </c>
      <c r="Z30" s="351">
        <v>369</v>
      </c>
      <c r="AA30" s="352"/>
      <c r="AB30" s="353">
        <f t="shared" si="7"/>
        <v>377</v>
      </c>
      <c r="AC30" s="351">
        <v>377</v>
      </c>
      <c r="AD30" s="354"/>
      <c r="AE30" s="355">
        <f t="shared" si="8"/>
        <v>502.66666666666663</v>
      </c>
      <c r="AF30" s="287">
        <f t="shared" si="9"/>
        <v>502.66666666666663</v>
      </c>
      <c r="AG30" s="288">
        <f t="shared" si="10"/>
        <v>0</v>
      </c>
      <c r="AH30" s="356"/>
      <c r="AI30" s="288"/>
      <c r="AJ30" s="289"/>
    </row>
    <row r="31" spans="3:36" ht="28.5" customHeight="1">
      <c r="C31" s="268"/>
      <c r="D31" s="268"/>
      <c r="E31" s="268"/>
      <c r="F31" s="268"/>
      <c r="G31" s="268"/>
      <c r="H31" s="268"/>
      <c r="M31" s="365">
        <f t="shared" si="0"/>
        <v>0</v>
      </c>
      <c r="N31" s="366">
        <f t="shared" si="15"/>
        <v>0</v>
      </c>
      <c r="O31" s="367">
        <f>L31/1</f>
        <v>0</v>
      </c>
      <c r="P31" s="368">
        <f t="shared" si="3"/>
        <v>809.6</v>
      </c>
      <c r="Q31" s="369">
        <v>519.1</v>
      </c>
      <c r="R31" s="370">
        <v>290.5</v>
      </c>
      <c r="S31" s="371">
        <f t="shared" si="4"/>
        <v>840</v>
      </c>
      <c r="T31" s="364">
        <f>239*2</f>
        <v>478</v>
      </c>
      <c r="U31" s="372">
        <f>181*2</f>
        <v>362</v>
      </c>
      <c r="V31" s="373">
        <f t="shared" si="5"/>
        <v>910.5</v>
      </c>
      <c r="W31" s="374">
        <v>502.5</v>
      </c>
      <c r="X31" s="375">
        <v>408</v>
      </c>
      <c r="Y31" s="376">
        <f t="shared" si="6"/>
        <v>808</v>
      </c>
      <c r="Z31" s="374">
        <v>506</v>
      </c>
      <c r="AA31" s="375">
        <v>302</v>
      </c>
      <c r="AB31" s="376">
        <f t="shared" si="7"/>
        <v>460</v>
      </c>
      <c r="AC31" s="374">
        <v>221</v>
      </c>
      <c r="AD31" s="377">
        <v>239</v>
      </c>
      <c r="AE31" s="378">
        <f t="shared" si="8"/>
        <v>613.3333333333334</v>
      </c>
      <c r="AF31" s="290">
        <f t="shared" si="9"/>
        <v>294.6666666666667</v>
      </c>
      <c r="AG31" s="291">
        <f t="shared" si="10"/>
        <v>318.6666666666667</v>
      </c>
      <c r="AH31" s="379"/>
      <c r="AI31" s="291"/>
      <c r="AJ31" s="292"/>
    </row>
    <row r="32" spans="13:36" ht="17.25" thickBot="1">
      <c r="M32" s="380"/>
      <c r="N32" s="366"/>
      <c r="O32" s="366"/>
      <c r="P32" s="381"/>
      <c r="Q32" s="369"/>
      <c r="R32" s="369"/>
      <c r="S32" s="382"/>
      <c r="T32" s="364"/>
      <c r="U32" s="364"/>
      <c r="V32" s="374"/>
      <c r="W32" s="374"/>
      <c r="X32" s="374"/>
      <c r="Y32" s="383"/>
      <c r="Z32" s="374"/>
      <c r="AA32" s="375"/>
      <c r="AB32" s="376"/>
      <c r="AC32" s="374"/>
      <c r="AD32" s="377"/>
      <c r="AE32" s="378"/>
      <c r="AF32" s="290"/>
      <c r="AG32" s="291"/>
      <c r="AH32" s="379"/>
      <c r="AI32" s="291"/>
      <c r="AJ32" s="292"/>
    </row>
    <row r="33" spans="13:36" ht="30" customHeight="1" thickBot="1">
      <c r="M33" s="386">
        <f>N33+O33</f>
        <v>0</v>
      </c>
      <c r="N33" s="387">
        <f>K33/3</f>
        <v>0</v>
      </c>
      <c r="O33" s="388">
        <f>L33/3</f>
        <v>0</v>
      </c>
      <c r="P33" s="389">
        <f>Q33+R33</f>
        <v>7072.099999999999</v>
      </c>
      <c r="Q33" s="390">
        <f aca="true" t="shared" si="16" ref="Q33:X33">SUM(Q9:Q30)</f>
        <v>4784.4</v>
      </c>
      <c r="R33" s="391">
        <f t="shared" si="16"/>
        <v>2287.7</v>
      </c>
      <c r="S33" s="392">
        <f t="shared" si="16"/>
        <v>7646</v>
      </c>
      <c r="T33" s="385">
        <f t="shared" si="16"/>
        <v>4902</v>
      </c>
      <c r="U33" s="393">
        <f t="shared" si="16"/>
        <v>2744</v>
      </c>
      <c r="V33" s="394">
        <f t="shared" si="16"/>
        <v>7597.5</v>
      </c>
      <c r="W33" s="395">
        <f t="shared" si="16"/>
        <v>5281.5</v>
      </c>
      <c r="X33" s="396">
        <f t="shared" si="16"/>
        <v>2316</v>
      </c>
      <c r="Y33" s="397">
        <f>Z33+AA33</f>
        <v>7236</v>
      </c>
      <c r="Z33" s="395">
        <f>SUM(Z9:Z31)</f>
        <v>4834</v>
      </c>
      <c r="AA33" s="396">
        <f>SUM(AA9:AA31)</f>
        <v>2402</v>
      </c>
      <c r="AB33" s="397">
        <f>AC33+AD33</f>
        <v>4375</v>
      </c>
      <c r="AC33" s="395">
        <f>SUM(AC9:AC31)</f>
        <v>3128</v>
      </c>
      <c r="AD33" s="396">
        <f>SUM(AD9:AD31)</f>
        <v>1247</v>
      </c>
      <c r="AE33" s="398">
        <f>AF33+AG33</f>
        <v>5833.333333333332</v>
      </c>
      <c r="AF33" s="399">
        <f>AC33/9*12</f>
        <v>4170.666666666666</v>
      </c>
      <c r="AG33" s="400">
        <f>AD33/9*12</f>
        <v>1662.6666666666665</v>
      </c>
      <c r="AH33" s="398">
        <v>421</v>
      </c>
      <c r="AI33" s="387"/>
      <c r="AJ33" s="401"/>
    </row>
    <row r="34" spans="13:36" ht="39" customHeight="1">
      <c r="M34" s="402"/>
      <c r="N34" s="387"/>
      <c r="O34" s="387"/>
      <c r="P34" s="403"/>
      <c r="Q34" s="390"/>
      <c r="R34" s="390"/>
      <c r="S34" s="404"/>
      <c r="T34" s="385"/>
      <c r="U34" s="385"/>
      <c r="V34" s="395"/>
      <c r="W34" s="395"/>
      <c r="X34" s="395"/>
      <c r="Y34" s="395"/>
      <c r="Z34" s="395"/>
      <c r="AA34" s="395"/>
      <c r="AB34" s="395"/>
      <c r="AC34" s="395"/>
      <c r="AD34" s="395"/>
      <c r="AE34" s="387"/>
      <c r="AF34" s="399"/>
      <c r="AG34" s="399"/>
      <c r="AH34" s="387"/>
      <c r="AI34" s="387"/>
      <c r="AJ34" s="387"/>
    </row>
    <row r="35" spans="2:36" ht="27" customHeight="1">
      <c r="B35" s="306"/>
      <c r="C35" s="435"/>
      <c r="D35" s="435"/>
      <c r="E35" s="435"/>
      <c r="F35" s="435"/>
      <c r="G35" s="435"/>
      <c r="H35" s="435"/>
      <c r="I35" s="435"/>
      <c r="J35" s="194"/>
      <c r="K35" s="194"/>
      <c r="L35" s="194"/>
      <c r="M35" s="436"/>
      <c r="N35" s="437"/>
      <c r="O35" s="437"/>
      <c r="P35" s="438"/>
      <c r="Q35" s="439"/>
      <c r="R35" s="439"/>
      <c r="S35" s="440"/>
      <c r="T35" s="441"/>
      <c r="U35" s="441"/>
      <c r="V35" s="442"/>
      <c r="W35" s="442"/>
      <c r="X35" s="442"/>
      <c r="Y35" s="442"/>
      <c r="Z35" s="442"/>
      <c r="AA35" s="442"/>
      <c r="AB35" s="442"/>
      <c r="AC35" s="442"/>
      <c r="AD35" s="442"/>
      <c r="AE35" s="437"/>
      <c r="AF35" s="443"/>
      <c r="AG35" s="443"/>
      <c r="AH35" s="437"/>
      <c r="AI35" s="437"/>
      <c r="AJ35" s="437"/>
    </row>
    <row r="36" spans="2:36" ht="15.75">
      <c r="B36" s="993"/>
      <c r="C36" s="993"/>
      <c r="D36" s="993"/>
      <c r="E36" s="993"/>
      <c r="F36" s="993"/>
      <c r="G36" s="993"/>
      <c r="H36" s="993"/>
      <c r="I36" s="993"/>
      <c r="J36" s="993"/>
      <c r="K36" s="993"/>
      <c r="L36" s="993"/>
      <c r="M36" s="993"/>
      <c r="N36" s="993"/>
      <c r="O36" s="993"/>
      <c r="P36" s="993"/>
      <c r="Q36" s="993"/>
      <c r="R36" s="993"/>
      <c r="S36" s="993"/>
      <c r="T36" s="993"/>
      <c r="U36" s="993"/>
      <c r="V36" s="993"/>
      <c r="W36" s="993"/>
      <c r="X36" s="993"/>
      <c r="Y36" s="993"/>
      <c r="Z36" s="993"/>
      <c r="AA36" s="993"/>
      <c r="AB36" s="993"/>
      <c r="AC36" s="993"/>
      <c r="AD36" s="993"/>
      <c r="AE36" s="993"/>
      <c r="AF36" s="993"/>
      <c r="AG36" s="993"/>
      <c r="AH36" s="993"/>
      <c r="AI36" s="993"/>
      <c r="AJ36" s="993"/>
    </row>
    <row r="37" spans="2:36" ht="15.75">
      <c r="B37" s="992"/>
      <c r="C37" s="992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  <c r="W37" s="992"/>
      <c r="X37" s="992"/>
      <c r="Y37" s="992"/>
      <c r="Z37" s="992"/>
      <c r="AA37" s="992"/>
      <c r="AB37" s="992"/>
      <c r="AC37" s="992"/>
      <c r="AD37" s="992"/>
      <c r="AE37" s="992"/>
      <c r="AF37" s="992"/>
      <c r="AG37" s="992"/>
      <c r="AH37" s="992"/>
      <c r="AI37" s="992"/>
      <c r="AJ37" s="992"/>
    </row>
    <row r="38" spans="19:36" ht="15.75">
      <c r="S38" s="409"/>
      <c r="T38" s="409"/>
      <c r="U38" s="409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299"/>
      <c r="AG38" s="299"/>
      <c r="AH38" s="299"/>
      <c r="AI38" s="299"/>
      <c r="AJ38" s="299"/>
    </row>
    <row r="39" spans="22:36" ht="15.75"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299"/>
      <c r="AG39" s="299"/>
      <c r="AH39" s="299"/>
      <c r="AI39" s="299"/>
      <c r="AJ39" s="299"/>
    </row>
    <row r="40" spans="22:36" ht="15.75"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299"/>
      <c r="AG40" s="299"/>
      <c r="AH40" s="299"/>
      <c r="AI40" s="299"/>
      <c r="AJ40" s="299"/>
    </row>
    <row r="41" spans="22:36" ht="15.75"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299"/>
      <c r="AG41" s="299"/>
      <c r="AH41" s="299"/>
      <c r="AI41" s="299"/>
      <c r="AJ41" s="299"/>
    </row>
    <row r="42" spans="22:36" ht="15.75"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299"/>
      <c r="AG42" s="299"/>
      <c r="AH42" s="299"/>
      <c r="AI42" s="299"/>
      <c r="AJ42" s="299"/>
    </row>
    <row r="43" spans="22:36" ht="15.75"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299"/>
      <c r="AG43" s="299"/>
      <c r="AH43" s="299"/>
      <c r="AI43" s="299"/>
      <c r="AJ43" s="299"/>
    </row>
    <row r="44" spans="22:36" ht="15.75"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305"/>
      <c r="AG44" s="305"/>
      <c r="AH44" s="305"/>
      <c r="AI44" s="305"/>
      <c r="AJ44" s="305"/>
    </row>
    <row r="47" ht="15.75">
      <c r="AK47" s="411"/>
    </row>
    <row r="48" ht="15.75">
      <c r="AK48" s="411"/>
    </row>
    <row r="60" ht="15" customHeight="1" hidden="1"/>
    <row r="61" ht="15.75" customHeight="1" hidden="1" thickBot="1"/>
    <row r="62" ht="15" customHeight="1" hidden="1"/>
    <row r="63" ht="65.25" customHeight="1" hidden="1"/>
    <row r="64" ht="15" customHeight="1" hidden="1" thickBot="1"/>
    <row r="65" ht="15.75" customHeight="1" hidden="1" thickBot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.75" customHeight="1" hidden="1" thickBot="1"/>
    <row r="88" ht="15.75" customHeight="1" hidden="1" thickBot="1"/>
    <row r="89" ht="15" customHeight="1" hidden="1"/>
    <row r="90" ht="15" customHeight="1" hidden="1"/>
    <row r="91" ht="15" customHeight="1" hidden="1"/>
    <row r="92" ht="15.75" customHeight="1" hidden="1" thickBot="1"/>
    <row r="93" ht="15" customHeight="1" hidden="1"/>
    <row r="94" ht="65.25" customHeight="1" hidden="1"/>
    <row r="95" ht="15" customHeight="1" hidden="1" thickBot="1"/>
    <row r="96" ht="15.75" customHeight="1" hidden="1" thickBot="1"/>
    <row r="97" ht="15.75" customHeight="1" hidden="1" thickBot="1"/>
    <row r="98" ht="15.75" customHeight="1" hidden="1" thickBot="1"/>
    <row r="99" ht="15" customHeight="1" hidden="1"/>
    <row r="100" ht="15" customHeight="1" hidden="1"/>
    <row r="101" ht="15" customHeight="1" hidden="1"/>
    <row r="102" ht="15.75" customHeight="1" hidden="1" thickBot="1"/>
    <row r="103" ht="15" customHeight="1" hidden="1"/>
    <row r="104" ht="65.25" customHeight="1" hidden="1"/>
    <row r="105" ht="15" customHeight="1" hidden="1" thickBot="1"/>
    <row r="106" ht="15.75" customHeight="1" hidden="1" thickBot="1"/>
    <row r="107" ht="15.75" customHeight="1" hidden="1" thickBot="1"/>
    <row r="108" ht="15.75" customHeight="1" hidden="1" thickBot="1"/>
    <row r="109" ht="15" customHeight="1" hidden="1"/>
    <row r="110" ht="15" customHeight="1" hidden="1"/>
    <row r="111" ht="15" customHeight="1" hidden="1"/>
    <row r="112" ht="15.75" customHeight="1" hidden="1" thickBot="1"/>
    <row r="113" ht="15" customHeight="1" hidden="1"/>
    <row r="114" ht="65.25" customHeight="1" hidden="1"/>
    <row r="115" ht="15" customHeight="1" hidden="1" thickBot="1"/>
    <row r="116" ht="15.75" customHeight="1" hidden="1" thickBot="1"/>
    <row r="117" ht="15.75" customHeight="1" hidden="1" thickBot="1"/>
    <row r="118" ht="15.75" customHeight="1" hidden="1" thickBot="1"/>
    <row r="119" ht="15" customHeight="1" hidden="1"/>
    <row r="120" ht="15" customHeight="1" hidden="1"/>
    <row r="121" ht="15.75" customHeight="1" hidden="1" thickBot="1"/>
    <row r="122" ht="15" customHeight="1" hidden="1"/>
    <row r="123" ht="65.25" customHeight="1" hidden="1"/>
    <row r="124" ht="15" customHeight="1" hidden="1" thickBot="1"/>
    <row r="125" ht="15.75" customHeight="1" hidden="1" thickBot="1"/>
    <row r="126" ht="15" customHeight="1" hidden="1"/>
    <row r="127" ht="15" customHeight="1" hidden="1"/>
    <row r="128" ht="15" customHeight="1" hidden="1"/>
    <row r="129" ht="15" customHeight="1" hidden="1"/>
    <row r="130" ht="15.75" customHeight="1" hidden="1" thickBot="1"/>
    <row r="131" ht="15.75" customHeight="1" hidden="1" thickBot="1"/>
    <row r="132" ht="15" customHeight="1" hidden="1"/>
    <row r="133" ht="15" customHeight="1" hidden="1"/>
    <row r="134" ht="15.75" customHeight="1" hidden="1" thickBot="1"/>
    <row r="135" ht="15" customHeight="1" hidden="1"/>
    <row r="136" ht="65.25" customHeight="1" hidden="1"/>
    <row r="137" ht="15" customHeight="1" hidden="1" thickBot="1"/>
    <row r="138" ht="15.75" customHeight="1" hidden="1" thickBot="1"/>
    <row r="139" ht="15.75" customHeight="1" hidden="1" thickBot="1"/>
    <row r="140" ht="15.75" customHeight="1" hidden="1" thickBot="1"/>
    <row r="141" ht="15" customHeight="1" hidden="1"/>
    <row r="142" ht="15" customHeight="1" hidden="1"/>
    <row r="143" ht="15.75" customHeight="1" hidden="1" thickBot="1"/>
    <row r="144" ht="15" customHeight="1" hidden="1"/>
    <row r="145" ht="65.25" customHeight="1" hidden="1"/>
    <row r="146" ht="15" customHeight="1" hidden="1" thickBot="1"/>
    <row r="147" ht="15.75" customHeight="1" hidden="1" thickBot="1"/>
    <row r="148" ht="15" customHeight="1" hidden="1"/>
    <row r="149" ht="15.75" customHeight="1" hidden="1" thickBot="1"/>
    <row r="150" ht="15.75" customHeight="1" hidden="1" thickBot="1"/>
    <row r="151" ht="15" customHeight="1" hidden="1"/>
  </sheetData>
  <sheetProtection/>
  <mergeCells count="38">
    <mergeCell ref="G6:G7"/>
    <mergeCell ref="B29:C29"/>
    <mergeCell ref="B4:B7"/>
    <mergeCell ref="C5:E5"/>
    <mergeCell ref="D6:E6"/>
    <mergeCell ref="C6:C7"/>
    <mergeCell ref="B3:I3"/>
    <mergeCell ref="Y5:AA5"/>
    <mergeCell ref="M5:O5"/>
    <mergeCell ref="P5:R5"/>
    <mergeCell ref="S5:U5"/>
    <mergeCell ref="V5:X5"/>
    <mergeCell ref="C4:I4"/>
    <mergeCell ref="G5:I5"/>
    <mergeCell ref="F5:F7"/>
    <mergeCell ref="S6:S7"/>
    <mergeCell ref="AB5:AD5"/>
    <mergeCell ref="Y6:Y7"/>
    <mergeCell ref="M6:M7"/>
    <mergeCell ref="N6:O6"/>
    <mergeCell ref="Z6:AA6"/>
    <mergeCell ref="AB6:AB7"/>
    <mergeCell ref="F1:I1"/>
    <mergeCell ref="B37:AJ37"/>
    <mergeCell ref="B36:AJ36"/>
    <mergeCell ref="AI6:AJ6"/>
    <mergeCell ref="AC6:AD6"/>
    <mergeCell ref="V6:V7"/>
    <mergeCell ref="AE5:AG5"/>
    <mergeCell ref="AH5:AJ5"/>
    <mergeCell ref="AH6:AH7"/>
    <mergeCell ref="H6:I6"/>
    <mergeCell ref="AE6:AE7"/>
    <mergeCell ref="AF6:AG6"/>
    <mergeCell ref="P6:P7"/>
    <mergeCell ref="Q6:R6"/>
    <mergeCell ref="W6:X6"/>
    <mergeCell ref="T6:U6"/>
  </mergeCells>
  <printOptions/>
  <pageMargins left="0.18" right="0.28" top="0.35" bottom="0.3" header="0.31496062992125984" footer="0.31496062992125984"/>
  <pageSetup fitToHeight="0" horizontalDpi="600" verticalDpi="600" orientation="landscape" paperSize="9" scale="80" r:id="rId1"/>
  <rowBreaks count="1" manualBreakCount="1">
    <brk id="28" max="22" man="1"/>
  </rowBreaks>
  <colBreaks count="1" manualBreakCount="1">
    <brk id="12" max="1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36"/>
  <sheetViews>
    <sheetView view="pageBreakPreview" zoomScale="70" zoomScaleSheetLayoutView="70" zoomScalePageLayoutView="0" workbookViewId="0" topLeftCell="A10">
      <selection activeCell="H12" sqref="H12"/>
    </sheetView>
  </sheetViews>
  <sheetFormatPr defaultColWidth="9.140625" defaultRowHeight="15"/>
  <cols>
    <col min="1" max="1" width="66.57421875" style="20" customWidth="1"/>
    <col min="2" max="2" width="17.7109375" style="59" customWidth="1"/>
    <col min="3" max="3" width="15.57421875" style="58" hidden="1" customWidth="1"/>
    <col min="4" max="4" width="22.421875" style="20" customWidth="1"/>
    <col min="5" max="5" width="18.140625" style="59" customWidth="1"/>
    <col min="6" max="6" width="15.57421875" style="58" hidden="1" customWidth="1"/>
    <col min="7" max="7" width="24.28125" style="20" customWidth="1"/>
    <col min="8" max="8" width="15.140625" style="20" customWidth="1"/>
    <col min="9" max="9" width="22.57421875" style="20" customWidth="1"/>
    <col min="10" max="10" width="18.140625" style="64" hidden="1" customWidth="1"/>
    <col min="11" max="11" width="15.8515625" style="20" hidden="1" customWidth="1"/>
    <col min="12" max="12" width="12.7109375" style="20" customWidth="1"/>
    <col min="13" max="13" width="19.140625" style="20" customWidth="1"/>
    <col min="14" max="14" width="13.00390625" style="20" customWidth="1"/>
    <col min="15" max="15" width="13.8515625" style="20" customWidth="1"/>
    <col min="16" max="16" width="12.421875" style="20" customWidth="1"/>
    <col min="17" max="17" width="10.57421875" style="20" customWidth="1"/>
    <col min="18" max="16384" width="9.140625" style="20" customWidth="1"/>
  </cols>
  <sheetData>
    <row r="1" spans="1:9" ht="75.75" customHeight="1">
      <c r="A1" s="64"/>
      <c r="B1" s="65"/>
      <c r="C1" s="66"/>
      <c r="D1" s="64"/>
      <c r="G1" s="1036" t="s">
        <v>328</v>
      </c>
      <c r="H1" s="1036"/>
      <c r="I1" s="1036"/>
    </row>
    <row r="2" spans="1:9" ht="22.5" customHeight="1">
      <c r="A2" s="64"/>
      <c r="B2" s="65"/>
      <c r="C2" s="66"/>
      <c r="D2" s="64"/>
      <c r="E2" s="145"/>
      <c r="F2" s="629"/>
      <c r="G2" s="145"/>
      <c r="H2" s="1052" t="s">
        <v>320</v>
      </c>
      <c r="I2" s="1052"/>
    </row>
    <row r="3" spans="1:9" ht="23.25" customHeight="1">
      <c r="A3" s="1039" t="s">
        <v>274</v>
      </c>
      <c r="B3" s="1039"/>
      <c r="C3" s="1039"/>
      <c r="D3" s="1039"/>
      <c r="E3" s="1039"/>
      <c r="F3" s="1039"/>
      <c r="G3" s="1039"/>
      <c r="H3" s="1039"/>
      <c r="I3" s="700"/>
    </row>
    <row r="4" spans="1:9" ht="16.5" thickBot="1">
      <c r="A4" s="64"/>
      <c r="B4" s="65"/>
      <c r="C4" s="66"/>
      <c r="D4" s="64"/>
      <c r="E4" s="65"/>
      <c r="F4" s="66"/>
      <c r="G4" s="64"/>
      <c r="H4" s="64"/>
      <c r="I4" s="64"/>
    </row>
    <row r="5" spans="1:11" ht="30" customHeight="1" thickBot="1">
      <c r="A5" s="1041" t="s">
        <v>91</v>
      </c>
      <c r="B5" s="1042" t="s">
        <v>240</v>
      </c>
      <c r="C5" s="1043"/>
      <c r="D5" s="1044"/>
      <c r="E5" s="513" t="s">
        <v>88</v>
      </c>
      <c r="F5" s="630"/>
      <c r="G5" s="515"/>
      <c r="H5" s="1048" t="s">
        <v>200</v>
      </c>
      <c r="I5" s="1049"/>
      <c r="J5" s="715"/>
      <c r="K5" s="48"/>
    </row>
    <row r="6" spans="1:11" ht="72.75" customHeight="1" thickBot="1">
      <c r="A6" s="893"/>
      <c r="B6" s="1045"/>
      <c r="C6" s="1046"/>
      <c r="D6" s="1047"/>
      <c r="E6" s="911" t="s">
        <v>319</v>
      </c>
      <c r="F6" s="912"/>
      <c r="G6" s="1040"/>
      <c r="H6" s="1050"/>
      <c r="I6" s="1051"/>
      <c r="J6" s="715"/>
      <c r="K6" s="48"/>
    </row>
    <row r="7" spans="1:11" s="499" customFormat="1" ht="24.75" customHeight="1" thickBot="1">
      <c r="A7" s="498"/>
      <c r="B7" s="622" t="s">
        <v>163</v>
      </c>
      <c r="C7" s="624" t="s">
        <v>310</v>
      </c>
      <c r="D7" s="852" t="s">
        <v>164</v>
      </c>
      <c r="E7" s="854" t="s">
        <v>163</v>
      </c>
      <c r="F7" s="624" t="s">
        <v>310</v>
      </c>
      <c r="G7" s="623" t="s">
        <v>164</v>
      </c>
      <c r="H7" s="853" t="s">
        <v>163</v>
      </c>
      <c r="I7" s="623" t="s">
        <v>164</v>
      </c>
      <c r="J7" s="716"/>
      <c r="K7" s="710"/>
    </row>
    <row r="8" spans="1:12" ht="24.75" customHeight="1" thickBot="1">
      <c r="A8" s="508" t="s">
        <v>90</v>
      </c>
      <c r="B8" s="653">
        <f>ROUND('приложение 1'!C11,0)</f>
        <v>176</v>
      </c>
      <c r="C8" s="651">
        <v>2175.3</v>
      </c>
      <c r="D8" s="649">
        <f>B8*C8</f>
        <v>382852.80000000005</v>
      </c>
      <c r="E8" s="794">
        <f>ROUND('приложение 1'!C10,0)</f>
        <v>12321</v>
      </c>
      <c r="F8" s="628">
        <f>G8/E8</f>
        <v>2257.255544192841</v>
      </c>
      <c r="G8" s="795">
        <v>27811645.56</v>
      </c>
      <c r="H8" s="794">
        <f>B8+E8</f>
        <v>12497</v>
      </c>
      <c r="I8" s="795">
        <v>28194498.36</v>
      </c>
      <c r="J8" s="717">
        <v>28194498.36</v>
      </c>
      <c r="K8" s="712">
        <f>J8-I8</f>
        <v>0</v>
      </c>
      <c r="L8" s="29"/>
    </row>
    <row r="9" spans="1:11" ht="29.25" customHeight="1" thickBot="1">
      <c r="A9" s="500" t="s">
        <v>241</v>
      </c>
      <c r="B9" s="656"/>
      <c r="C9" s="75"/>
      <c r="D9" s="657"/>
      <c r="E9" s="658"/>
      <c r="F9" s="75"/>
      <c r="G9" s="659"/>
      <c r="H9" s="658"/>
      <c r="I9" s="659"/>
      <c r="J9" s="717"/>
      <c r="K9" s="709"/>
    </row>
    <row r="10" spans="1:22" ht="34.5" customHeight="1" thickBot="1">
      <c r="A10" s="85" t="s">
        <v>166</v>
      </c>
      <c r="B10" s="647">
        <f>ROUND('приложение 1'!G11,0)</f>
        <v>3057</v>
      </c>
      <c r="C10" s="648">
        <v>449.77</v>
      </c>
      <c r="D10" s="649">
        <f>B10*C10</f>
        <v>1374946.89</v>
      </c>
      <c r="E10" s="650">
        <f>ROUND('приложение 1'!G10,0)</f>
        <v>94833</v>
      </c>
      <c r="F10" s="651">
        <f>G10/E10</f>
        <v>467.03102242890134</v>
      </c>
      <c r="G10" s="652">
        <f>I10-D10</f>
        <v>44289952.95</v>
      </c>
      <c r="H10" s="653">
        <f>B10+E10</f>
        <v>97890</v>
      </c>
      <c r="I10" s="652">
        <v>45664899.84</v>
      </c>
      <c r="J10" s="717">
        <v>45664698.33</v>
      </c>
      <c r="K10" s="712">
        <f>J10-I10</f>
        <v>-201.51000000536442</v>
      </c>
      <c r="L10" s="29"/>
      <c r="M10" s="48"/>
      <c r="N10" s="48"/>
      <c r="O10" s="48"/>
      <c r="P10" s="48"/>
      <c r="V10" s="49"/>
    </row>
    <row r="11" spans="1:22" ht="19.5" customHeight="1">
      <c r="A11" s="502" t="s">
        <v>98</v>
      </c>
      <c r="B11" s="642"/>
      <c r="C11" s="643"/>
      <c r="D11" s="633"/>
      <c r="E11" s="654"/>
      <c r="F11" s="625"/>
      <c r="G11" s="621"/>
      <c r="H11" s="655"/>
      <c r="I11" s="621"/>
      <c r="J11" s="717"/>
      <c r="K11" s="709"/>
      <c r="L11" s="29"/>
      <c r="M11" s="48"/>
      <c r="N11" s="48"/>
      <c r="O11" s="48"/>
      <c r="P11" s="48"/>
      <c r="V11" s="49"/>
    </row>
    <row r="12" spans="1:22" ht="19.5" customHeight="1" thickBot="1">
      <c r="A12" s="620" t="s">
        <v>312</v>
      </c>
      <c r="B12" s="71"/>
      <c r="C12" s="627"/>
      <c r="D12" s="634"/>
      <c r="E12" s="131">
        <f>'Приложение 2.2 АПП'!G29+'Приложение 2.2 АПП'!H29+'Приложение 2.2 АПП'!I29+'Приложение 2.2 АПП'!J29+'Приложение 2.2 АПП'!K29+'Приложение 2.2 АПП'!L29</f>
        <v>53950</v>
      </c>
      <c r="F12" s="626"/>
      <c r="G12" s="69">
        <f>23435693.95+1645985.92</f>
        <v>25081679.869999997</v>
      </c>
      <c r="H12" s="131"/>
      <c r="I12" s="69"/>
      <c r="J12" s="717"/>
      <c r="K12" s="709"/>
      <c r="L12" s="29"/>
      <c r="M12" s="48"/>
      <c r="N12" s="48"/>
      <c r="O12" s="48"/>
      <c r="P12" s="48"/>
      <c r="V12" s="49"/>
    </row>
    <row r="13" spans="1:22" ht="19.5" customHeight="1" thickBot="1">
      <c r="A13" s="620" t="s">
        <v>314</v>
      </c>
      <c r="B13" s="71"/>
      <c r="C13" s="627"/>
      <c r="D13" s="624"/>
      <c r="E13" s="131">
        <f>'Приложение 2.2 АПП'!B21</f>
        <v>1703</v>
      </c>
      <c r="F13" s="626"/>
      <c r="G13" s="69">
        <f>943175.61</f>
        <v>943175.61</v>
      </c>
      <c r="H13" s="131"/>
      <c r="I13" s="69"/>
      <c r="J13" s="717"/>
      <c r="K13" s="709"/>
      <c r="L13" s="29"/>
      <c r="M13" s="48"/>
      <c r="N13" s="48"/>
      <c r="O13" s="48"/>
      <c r="P13" s="48"/>
      <c r="V13" s="49"/>
    </row>
    <row r="14" spans="1:22" ht="19.5" customHeight="1" thickBot="1">
      <c r="A14" s="620" t="s">
        <v>313</v>
      </c>
      <c r="B14" s="636"/>
      <c r="C14" s="637"/>
      <c r="D14" s="638"/>
      <c r="E14" s="639">
        <f>E10-E12-E13</f>
        <v>39180</v>
      </c>
      <c r="F14" s="640"/>
      <c r="G14" s="641">
        <f>G10-G12-G13</f>
        <v>18265097.470000006</v>
      </c>
      <c r="H14" s="639"/>
      <c r="I14" s="641"/>
      <c r="J14" s="717"/>
      <c r="K14" s="709"/>
      <c r="L14" s="29"/>
      <c r="M14" s="48"/>
      <c r="N14" s="48"/>
      <c r="O14" s="48"/>
      <c r="P14" s="48"/>
      <c r="V14" s="49"/>
    </row>
    <row r="15" spans="1:22" ht="31.5" customHeight="1" thickBot="1">
      <c r="A15" s="85" t="s">
        <v>167</v>
      </c>
      <c r="B15" s="647">
        <f>ROUND('приложение 1'!I11,0)</f>
        <v>600</v>
      </c>
      <c r="C15" s="648">
        <v>1260.11</v>
      </c>
      <c r="D15" s="649">
        <f>B15*C15</f>
        <v>756065.9999999999</v>
      </c>
      <c r="E15" s="650">
        <f>ROUND('приложение 1'!I10,0)</f>
        <v>81878</v>
      </c>
      <c r="F15" s="651">
        <f>G15/E15</f>
        <v>1307.2959534917804</v>
      </c>
      <c r="G15" s="652">
        <f>I15-D15</f>
        <v>107038778.08</v>
      </c>
      <c r="H15" s="653">
        <f>B15+E15</f>
        <v>82478</v>
      </c>
      <c r="I15" s="652">
        <v>107794844.08</v>
      </c>
      <c r="J15" s="718">
        <v>107794849.84</v>
      </c>
      <c r="K15" s="712">
        <f>J15-I15</f>
        <v>5.760000005364418</v>
      </c>
      <c r="L15" s="29"/>
      <c r="M15" s="48"/>
      <c r="N15" s="48"/>
      <c r="O15" s="48"/>
      <c r="P15" s="48"/>
      <c r="V15" s="49"/>
    </row>
    <row r="16" spans="1:22" ht="24.75" customHeight="1">
      <c r="A16" s="85" t="s">
        <v>273</v>
      </c>
      <c r="B16" s="642"/>
      <c r="C16" s="643"/>
      <c r="D16" s="633"/>
      <c r="E16" s="644"/>
      <c r="F16" s="645"/>
      <c r="G16" s="621"/>
      <c r="H16" s="646"/>
      <c r="I16" s="621"/>
      <c r="J16" s="717"/>
      <c r="K16" s="709"/>
      <c r="L16" s="29"/>
      <c r="M16" s="48"/>
      <c r="N16" s="48"/>
      <c r="O16" s="48"/>
      <c r="P16" s="48"/>
      <c r="V16" s="49"/>
    </row>
    <row r="17" spans="1:22" ht="24.75" customHeight="1">
      <c r="A17" s="620" t="s">
        <v>315</v>
      </c>
      <c r="B17" s="71"/>
      <c r="C17" s="627"/>
      <c r="D17" s="634"/>
      <c r="E17" s="619">
        <f>'Приложение 2.3 АПП '!O20</f>
        <v>12734</v>
      </c>
      <c r="F17" s="626"/>
      <c r="G17" s="69">
        <v>15988167.73</v>
      </c>
      <c r="H17" s="511"/>
      <c r="I17" s="69"/>
      <c r="J17" s="717"/>
      <c r="K17" s="709"/>
      <c r="L17" s="29"/>
      <c r="M17" s="48"/>
      <c r="N17" s="48"/>
      <c r="O17" s="48"/>
      <c r="P17" s="48"/>
      <c r="V17" s="49"/>
    </row>
    <row r="18" spans="1:22" ht="24.75" customHeight="1" thickBot="1">
      <c r="A18" s="620" t="s">
        <v>244</v>
      </c>
      <c r="B18" s="636"/>
      <c r="C18" s="637"/>
      <c r="D18" s="638"/>
      <c r="E18" s="639">
        <f>E15-E17</f>
        <v>69144</v>
      </c>
      <c r="F18" s="660"/>
      <c r="G18" s="641">
        <f>G15-G17</f>
        <v>91050610.35</v>
      </c>
      <c r="H18" s="661"/>
      <c r="I18" s="641"/>
      <c r="J18" s="717"/>
      <c r="K18" s="709"/>
      <c r="L18" s="29"/>
      <c r="M18" s="48"/>
      <c r="N18" s="48"/>
      <c r="O18" s="48"/>
      <c r="P18" s="48"/>
      <c r="V18" s="49"/>
    </row>
    <row r="19" spans="1:22" ht="36.75" customHeight="1" thickBot="1">
      <c r="A19" s="85" t="s">
        <v>275</v>
      </c>
      <c r="B19" s="647">
        <f>ROUND('приложение 1'!H11,0)</f>
        <v>72</v>
      </c>
      <c r="C19" s="648">
        <v>575.77</v>
      </c>
      <c r="D19" s="649">
        <f>B19*C19</f>
        <v>41455.44</v>
      </c>
      <c r="E19" s="650">
        <f>ROUND('приложение 1'!H10,0)</f>
        <v>23255</v>
      </c>
      <c r="F19" s="651">
        <f>G19/E19</f>
        <v>597.2397454310901</v>
      </c>
      <c r="G19" s="652">
        <v>13888810.28</v>
      </c>
      <c r="H19" s="653">
        <f>B19+E19</f>
        <v>23327</v>
      </c>
      <c r="I19" s="652">
        <f>D19+G19</f>
        <v>13930265.719999999</v>
      </c>
      <c r="J19" s="717">
        <v>13930265.72</v>
      </c>
      <c r="K19" s="712">
        <f>J19-I19</f>
        <v>0</v>
      </c>
      <c r="L19" s="29"/>
      <c r="M19" s="48"/>
      <c r="N19" s="48"/>
      <c r="O19" s="48"/>
      <c r="P19" s="48"/>
      <c r="V19" s="49"/>
    </row>
    <row r="20" spans="1:22" ht="26.25" customHeight="1" thickBot="1">
      <c r="A20" s="501" t="s">
        <v>47</v>
      </c>
      <c r="B20" s="662"/>
      <c r="C20" s="663"/>
      <c r="D20" s="657"/>
      <c r="E20" s="658"/>
      <c r="F20" s="75"/>
      <c r="G20" s="659"/>
      <c r="H20" s="658"/>
      <c r="I20" s="659"/>
      <c r="J20" s="717"/>
      <c r="K20" s="709"/>
      <c r="L20" s="29"/>
      <c r="M20" s="48"/>
      <c r="N20" s="48"/>
      <c r="O20" s="48"/>
      <c r="P20" s="48"/>
      <c r="V20" s="49"/>
    </row>
    <row r="21" spans="1:16" ht="26.25" customHeight="1" thickBot="1">
      <c r="A21" s="89" t="s">
        <v>218</v>
      </c>
      <c r="B21" s="653">
        <f>ROUND('приложение 1'!J11,0)</f>
        <v>543</v>
      </c>
      <c r="C21" s="651">
        <v>29020.33</v>
      </c>
      <c r="D21" s="649">
        <f>B21*C21+7000000+1154000</f>
        <v>23912039.19</v>
      </c>
      <c r="E21" s="653">
        <f>ROUND('приложение 1'!J10,0)</f>
        <v>6635</v>
      </c>
      <c r="F21" s="651">
        <f>G21/E21</f>
        <v>29147.11674604371</v>
      </c>
      <c r="G21" s="652">
        <f>I21-D21</f>
        <v>193391119.61</v>
      </c>
      <c r="H21" s="653">
        <f>B21+E21</f>
        <v>7178</v>
      </c>
      <c r="I21" s="652">
        <v>217303158.8</v>
      </c>
      <c r="J21" s="717">
        <v>216066228.28</v>
      </c>
      <c r="K21" s="712">
        <f>J21-I21</f>
        <v>-1236930.5200000107</v>
      </c>
      <c r="L21" s="48"/>
      <c r="M21" s="48"/>
      <c r="N21" s="48"/>
      <c r="O21" s="48"/>
      <c r="P21" s="48"/>
    </row>
    <row r="22" spans="1:16" ht="21" customHeight="1">
      <c r="A22" s="89" t="s">
        <v>99</v>
      </c>
      <c r="B22" s="699">
        <f>'Приложение 2.4 -КС'!G33</f>
        <v>4995.599999999999</v>
      </c>
      <c r="C22" s="625">
        <f>D21/B21</f>
        <v>44036.90458563536</v>
      </c>
      <c r="D22" s="721"/>
      <c r="E22" s="699">
        <f>'Приложение 2.4 -КС'!G31</f>
        <v>56642.5</v>
      </c>
      <c r="F22" s="625"/>
      <c r="G22" s="621"/>
      <c r="H22" s="655">
        <f>'Приложение 2.4 -КС'!G34</f>
        <v>61638.1</v>
      </c>
      <c r="I22" s="621"/>
      <c r="J22" s="717"/>
      <c r="K22" s="709"/>
      <c r="L22" s="48"/>
      <c r="M22" s="48"/>
      <c r="N22" s="48"/>
      <c r="O22" s="48"/>
      <c r="P22" s="48"/>
    </row>
    <row r="23" spans="1:16" ht="24.75" customHeight="1" hidden="1">
      <c r="A23" s="83" t="s">
        <v>131</v>
      </c>
      <c r="B23" s="67"/>
      <c r="C23" s="626"/>
      <c r="D23" s="634"/>
      <c r="E23" s="149"/>
      <c r="F23" s="626"/>
      <c r="G23" s="69"/>
      <c r="H23" s="149"/>
      <c r="I23" s="69"/>
      <c r="J23" s="717"/>
      <c r="K23" s="709"/>
      <c r="L23" s="48"/>
      <c r="M23" s="48"/>
      <c r="N23" s="48"/>
      <c r="O23" s="48"/>
      <c r="P23" s="48"/>
    </row>
    <row r="24" spans="1:16" ht="22.5" customHeight="1" thickBot="1">
      <c r="A24" s="500" t="s">
        <v>216</v>
      </c>
      <c r="C24" s="664"/>
      <c r="E24" s="665"/>
      <c r="F24" s="640"/>
      <c r="G24" s="641"/>
      <c r="H24" s="666"/>
      <c r="I24" s="641"/>
      <c r="J24" s="717"/>
      <c r="K24" s="709"/>
      <c r="L24" s="48"/>
      <c r="M24" s="48"/>
      <c r="N24" s="48"/>
      <c r="O24" s="48"/>
      <c r="P24" s="48"/>
    </row>
    <row r="25" spans="1:16" ht="22.5" customHeight="1" thickBot="1">
      <c r="A25" s="509" t="s">
        <v>237</v>
      </c>
      <c r="B25" s="653">
        <f>ROUND('приложение 1'!M11,0)</f>
        <v>20</v>
      </c>
      <c r="C25" s="651">
        <v>14249.83</v>
      </c>
      <c r="D25" s="649">
        <f>B25*C25+1643.08</f>
        <v>286639.68</v>
      </c>
      <c r="E25" s="653">
        <f>ROUND('приложение 1'!M10,)</f>
        <v>2479</v>
      </c>
      <c r="F25" s="651">
        <f>G25/E25</f>
        <v>14785.134441306978</v>
      </c>
      <c r="G25" s="652">
        <v>36652348.28</v>
      </c>
      <c r="H25" s="653">
        <f>B25+E25</f>
        <v>2499</v>
      </c>
      <c r="I25" s="652">
        <f>D25+G25</f>
        <v>36938987.96</v>
      </c>
      <c r="J25" s="719">
        <v>36938987.96</v>
      </c>
      <c r="K25" s="712">
        <f>J25-I25</f>
        <v>0</v>
      </c>
      <c r="L25" s="48"/>
      <c r="M25" s="48"/>
      <c r="N25" s="48"/>
      <c r="O25" s="48"/>
      <c r="P25" s="48"/>
    </row>
    <row r="26" spans="1:16" ht="22.5" customHeight="1">
      <c r="A26" s="509" t="s">
        <v>217</v>
      </c>
      <c r="B26" s="699">
        <f>'Приложение 2.5 -ДС '!G27</f>
        <v>172</v>
      </c>
      <c r="C26" s="625"/>
      <c r="D26" s="633"/>
      <c r="E26" s="851">
        <f>'Приложение 2.5 -ДС '!G24</f>
        <v>23535.4</v>
      </c>
      <c r="F26" s="706"/>
      <c r="G26" s="707">
        <f>I25-D25</f>
        <v>36652348.28</v>
      </c>
      <c r="H26" s="699">
        <f>'Приложение 2.5 -ДС '!G28</f>
        <v>23707.4</v>
      </c>
      <c r="I26" s="621"/>
      <c r="J26" s="717"/>
      <c r="K26" s="709"/>
      <c r="L26" s="48"/>
      <c r="M26" s="48"/>
      <c r="N26" s="48"/>
      <c r="O26" s="48"/>
      <c r="P26" s="48"/>
    </row>
    <row r="27" spans="1:16" ht="32.25" customHeight="1" thickBot="1">
      <c r="A27" s="510" t="s">
        <v>238</v>
      </c>
      <c r="B27" s="506"/>
      <c r="C27" s="628"/>
      <c r="D27" s="635">
        <f>D8+D10+D15+D19+D21+D25</f>
        <v>26754000</v>
      </c>
      <c r="E27" s="135"/>
      <c r="F27" s="708"/>
      <c r="G27" s="507">
        <f>G8+G10+G15+G19+G21+G25</f>
        <v>423072654.76</v>
      </c>
      <c r="H27" s="512"/>
      <c r="I27" s="507">
        <f>I8+I10+I15+I19+I21+I25</f>
        <v>449826654.76</v>
      </c>
      <c r="J27" s="720">
        <f>J8+J10+J15+J19+J21+J25</f>
        <v>448589528.48999995</v>
      </c>
      <c r="K27" s="709"/>
      <c r="L27" s="48"/>
      <c r="M27" s="48"/>
      <c r="N27" s="48"/>
      <c r="O27" s="48"/>
      <c r="P27" s="48"/>
    </row>
    <row r="28" spans="1:16" ht="32.25" customHeight="1" hidden="1" thickBot="1">
      <c r="A28" s="631"/>
      <c r="B28" s="73"/>
      <c r="C28" s="75"/>
      <c r="D28" s="632">
        <f>18600000-D27</f>
        <v>-8154000</v>
      </c>
      <c r="E28" s="74"/>
      <c r="F28" s="705">
        <f>G28-G27</f>
        <v>6916922.470000029</v>
      </c>
      <c r="G28" s="138">
        <v>429989577.23</v>
      </c>
      <c r="H28" s="713">
        <f>I27-I28</f>
        <v>1237077.5299999714</v>
      </c>
      <c r="I28" s="138">
        <v>448589577.23</v>
      </c>
      <c r="J28" s="714">
        <f>I28-J27</f>
        <v>48.74000006914139</v>
      </c>
      <c r="K28" s="48"/>
      <c r="L28" s="48"/>
      <c r="M28" s="48"/>
      <c r="N28" s="48"/>
      <c r="O28" s="48"/>
      <c r="P28" s="48"/>
    </row>
    <row r="29" spans="1:16" ht="30" customHeight="1">
      <c r="A29" s="1038" t="s">
        <v>311</v>
      </c>
      <c r="B29" s="1038"/>
      <c r="C29" s="1038"/>
      <c r="D29" s="1038"/>
      <c r="E29" s="1038"/>
      <c r="F29" s="1038"/>
      <c r="G29" s="1038"/>
      <c r="H29" s="1038"/>
      <c r="I29" s="1038"/>
      <c r="J29" s="111"/>
      <c r="K29" s="48"/>
      <c r="L29" s="48"/>
      <c r="M29" s="48"/>
      <c r="N29" s="48"/>
      <c r="O29" s="48"/>
      <c r="P29" s="48"/>
    </row>
    <row r="30" spans="1:16" ht="33.75" customHeight="1">
      <c r="A30" s="1037" t="s">
        <v>316</v>
      </c>
      <c r="B30" s="1037"/>
      <c r="C30" s="1037"/>
      <c r="D30" s="1037"/>
      <c r="E30" s="1037"/>
      <c r="F30" s="1037"/>
      <c r="G30" s="1037"/>
      <c r="H30" s="1037"/>
      <c r="I30" s="1037"/>
      <c r="J30" s="111"/>
      <c r="K30" s="48"/>
      <c r="L30" s="48"/>
      <c r="M30" s="48"/>
      <c r="N30" s="48"/>
      <c r="O30" s="48"/>
      <c r="P30" s="48"/>
    </row>
    <row r="31" spans="1:16" ht="20.25" customHeight="1">
      <c r="A31" s="23"/>
      <c r="B31" s="62"/>
      <c r="C31" s="63"/>
      <c r="D31" s="60"/>
      <c r="E31" s="61"/>
      <c r="F31" s="63"/>
      <c r="G31" s="60"/>
      <c r="H31" s="50"/>
      <c r="I31" s="48"/>
      <c r="J31" s="711"/>
      <c r="K31" s="48"/>
      <c r="L31" s="48"/>
      <c r="M31" s="48"/>
      <c r="N31" s="48"/>
      <c r="O31" s="48"/>
      <c r="P31" s="48"/>
    </row>
    <row r="32" spans="1:16" ht="20.25" customHeight="1">
      <c r="A32" s="23"/>
      <c r="B32" s="62"/>
      <c r="C32" s="63"/>
      <c r="D32" s="60"/>
      <c r="E32" s="61"/>
      <c r="F32" s="63"/>
      <c r="G32" s="60"/>
      <c r="H32" s="50"/>
      <c r="I32" s="48"/>
      <c r="J32" s="711"/>
      <c r="K32" s="48"/>
      <c r="L32" s="48"/>
      <c r="M32" s="48"/>
      <c r="N32" s="48"/>
      <c r="O32" s="48"/>
      <c r="P32" s="48"/>
    </row>
    <row r="33" spans="1:16" ht="20.25" customHeight="1">
      <c r="A33" s="23"/>
      <c r="B33" s="62"/>
      <c r="C33" s="63"/>
      <c r="D33" s="60"/>
      <c r="E33" s="61"/>
      <c r="F33" s="63"/>
      <c r="G33" s="60"/>
      <c r="H33" s="50"/>
      <c r="I33" s="48"/>
      <c r="J33" s="711"/>
      <c r="K33" s="48"/>
      <c r="L33" s="48"/>
      <c r="M33" s="48"/>
      <c r="N33" s="48"/>
      <c r="O33" s="48"/>
      <c r="P33" s="48"/>
    </row>
    <row r="34" spans="1:16" ht="20.25" customHeight="1">
      <c r="A34" s="23"/>
      <c r="B34" s="62"/>
      <c r="C34" s="63"/>
      <c r="D34" s="60"/>
      <c r="E34" s="61"/>
      <c r="F34" s="63"/>
      <c r="G34" s="60"/>
      <c r="H34" s="50"/>
      <c r="I34" s="48"/>
      <c r="J34" s="711"/>
      <c r="K34" s="48"/>
      <c r="L34" s="48"/>
      <c r="M34" s="48"/>
      <c r="N34" s="48"/>
      <c r="O34" s="48"/>
      <c r="P34" s="48"/>
    </row>
    <row r="35" spans="1:16" ht="20.25" customHeight="1">
      <c r="A35" s="23"/>
      <c r="B35" s="62"/>
      <c r="C35" s="63"/>
      <c r="D35" s="60"/>
      <c r="E35" s="61"/>
      <c r="F35" s="63"/>
      <c r="G35" s="60"/>
      <c r="H35" s="50"/>
      <c r="I35" s="48"/>
      <c r="J35" s="711"/>
      <c r="K35" s="48"/>
      <c r="L35" s="48"/>
      <c r="M35" s="48"/>
      <c r="N35" s="48"/>
      <c r="O35" s="48"/>
      <c r="P35" s="48"/>
    </row>
    <row r="36" spans="1:16" ht="20.25" customHeight="1">
      <c r="A36" s="23"/>
      <c r="B36" s="62"/>
      <c r="C36" s="63"/>
      <c r="D36" s="60"/>
      <c r="E36" s="61"/>
      <c r="F36" s="63"/>
      <c r="G36" s="60"/>
      <c r="H36" s="50"/>
      <c r="I36" s="48"/>
      <c r="J36" s="711"/>
      <c r="K36" s="48"/>
      <c r="L36" s="48"/>
      <c r="M36" s="48"/>
      <c r="N36" s="48"/>
      <c r="O36" s="48"/>
      <c r="P36" s="48"/>
    </row>
  </sheetData>
  <sheetProtection/>
  <mergeCells count="9">
    <mergeCell ref="G1:I1"/>
    <mergeCell ref="A30:I30"/>
    <mergeCell ref="A29:I29"/>
    <mergeCell ref="A3:H3"/>
    <mergeCell ref="E6:G6"/>
    <mergeCell ref="A5:A6"/>
    <mergeCell ref="B5:D6"/>
    <mergeCell ref="H5:I6"/>
    <mergeCell ref="H2:I2"/>
  </mergeCells>
  <printOptions/>
  <pageMargins left="0.34" right="0.17" top="0.32" bottom="0.36" header="0.31496062992125984" footer="0.31496062992125984"/>
  <pageSetup fitToHeight="4" horizontalDpi="600" verticalDpi="600" orientation="landscape" paperSize="9" scale="65" r:id="rId1"/>
  <rowBreaks count="1" manualBreakCount="1">
    <brk id="3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Q57"/>
  <sheetViews>
    <sheetView view="pageBreakPreview" zoomScale="70" zoomScaleNormal="80" zoomScaleSheetLayoutView="70" zoomScalePageLayoutView="0" workbookViewId="0" topLeftCell="A1">
      <selection activeCell="L8" sqref="L8"/>
    </sheetView>
  </sheetViews>
  <sheetFormatPr defaultColWidth="9.140625" defaultRowHeight="15"/>
  <cols>
    <col min="1" max="1" width="5.28125" style="1" customWidth="1"/>
    <col min="2" max="2" width="21.7109375" style="1" customWidth="1"/>
    <col min="3" max="3" width="15.7109375" style="1" customWidth="1"/>
    <col min="4" max="4" width="16.28125" style="1" customWidth="1"/>
    <col min="5" max="6" width="15.421875" style="1" customWidth="1"/>
    <col min="7" max="7" width="17.00390625" style="1" customWidth="1"/>
    <col min="8" max="8" width="16.7109375" style="1" customWidth="1"/>
    <col min="9" max="9" width="15.7109375" style="1" customWidth="1"/>
    <col min="10" max="10" width="16.28125" style="1" customWidth="1"/>
    <col min="11" max="11" width="7.00390625" style="1" hidden="1" customWidth="1"/>
    <col min="12" max="12" width="15.28125" style="1" customWidth="1"/>
    <col min="13" max="13" width="0.13671875" style="1" hidden="1" customWidth="1"/>
    <col min="14" max="14" width="15.8515625" style="1" customWidth="1"/>
    <col min="15" max="15" width="17.00390625" style="1" customWidth="1"/>
    <col min="16" max="16" width="21.57421875" style="1" customWidth="1"/>
    <col min="17" max="17" width="15.57421875" style="1" customWidth="1"/>
    <col min="18" max="16384" width="9.140625" style="1" customWidth="1"/>
  </cols>
  <sheetData>
    <row r="2" spans="8:15" ht="60" customHeight="1">
      <c r="H2" s="161"/>
      <c r="L2" s="1055" t="s">
        <v>330</v>
      </c>
      <c r="M2" s="1055"/>
      <c r="N2" s="1055"/>
      <c r="O2" s="1055"/>
    </row>
    <row r="5" spans="2:15" ht="18.75">
      <c r="B5" s="1056" t="s">
        <v>276</v>
      </c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</row>
    <row r="6" spans="2:15" ht="12.7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2.75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5" ht="25.5" customHeight="1" thickBo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s="91" customFormat="1" ht="33.75" customHeight="1">
      <c r="B9" s="1068"/>
      <c r="C9" s="1053" t="s">
        <v>106</v>
      </c>
      <c r="D9" s="1060" t="s">
        <v>107</v>
      </c>
      <c r="E9" s="1061"/>
      <c r="F9" s="1061"/>
      <c r="G9" s="1062"/>
      <c r="H9" s="1053" t="s">
        <v>3</v>
      </c>
      <c r="I9" s="1053" t="s">
        <v>131</v>
      </c>
      <c r="J9" s="1053" t="s">
        <v>109</v>
      </c>
      <c r="K9" s="162" t="s">
        <v>110</v>
      </c>
      <c r="L9" s="1053" t="s">
        <v>111</v>
      </c>
      <c r="M9" s="163" t="s">
        <v>112</v>
      </c>
      <c r="N9" s="1053" t="s">
        <v>113</v>
      </c>
      <c r="O9" s="1073" t="s">
        <v>4</v>
      </c>
    </row>
    <row r="10" spans="2:15" s="91" customFormat="1" ht="84" customHeight="1" thickBot="1">
      <c r="B10" s="1069"/>
      <c r="C10" s="1054"/>
      <c r="D10" s="164" t="s">
        <v>114</v>
      </c>
      <c r="E10" s="164" t="s">
        <v>116</v>
      </c>
      <c r="F10" s="164" t="s">
        <v>117</v>
      </c>
      <c r="G10" s="165" t="s">
        <v>115</v>
      </c>
      <c r="H10" s="1054"/>
      <c r="I10" s="1054"/>
      <c r="J10" s="1054"/>
      <c r="K10" s="165"/>
      <c r="L10" s="1054"/>
      <c r="M10" s="164"/>
      <c r="N10" s="1054"/>
      <c r="O10" s="1074"/>
    </row>
    <row r="11" spans="2:15" s="170" customFormat="1" ht="33" customHeight="1" hidden="1" thickBot="1">
      <c r="B11" s="171" t="s">
        <v>8</v>
      </c>
      <c r="C11" s="172" t="s">
        <v>95</v>
      </c>
      <c r="D11" s="172"/>
      <c r="E11" s="172" t="s">
        <v>162</v>
      </c>
      <c r="F11" s="172"/>
      <c r="G11" s="173" t="s">
        <v>5</v>
      </c>
      <c r="H11" s="174" t="s">
        <v>6</v>
      </c>
      <c r="I11" s="172" t="s">
        <v>7</v>
      </c>
      <c r="J11" s="172" t="s">
        <v>237</v>
      </c>
      <c r="K11" s="173"/>
      <c r="L11" s="172"/>
      <c r="M11" s="172"/>
      <c r="N11" s="172"/>
      <c r="O11" s="175"/>
    </row>
    <row r="12" spans="2:16" s="170" customFormat="1" ht="63" customHeight="1" thickBot="1">
      <c r="B12" s="176" t="s">
        <v>157</v>
      </c>
      <c r="C12" s="177">
        <f>'приложение 5'!G8</f>
        <v>28194498.36</v>
      </c>
      <c r="D12" s="178">
        <f>G12+E12+F12</f>
        <v>167390009.64000002</v>
      </c>
      <c r="E12" s="179">
        <f>'приложение 5'!G10</f>
        <v>45664899.84</v>
      </c>
      <c r="F12" s="179">
        <f>'приложение 5'!G11</f>
        <v>13930265.719999999</v>
      </c>
      <c r="G12" s="179">
        <f>'приложение 5'!G12</f>
        <v>107794844.08</v>
      </c>
      <c r="H12" s="180">
        <f>'приложение 5'!G13</f>
        <v>217303158.8</v>
      </c>
      <c r="I12" s="180">
        <v>0</v>
      </c>
      <c r="J12" s="180">
        <f>'приложение 5'!G15</f>
        <v>36938987.96</v>
      </c>
      <c r="K12" s="180"/>
      <c r="L12" s="180">
        <v>0</v>
      </c>
      <c r="M12" s="180"/>
      <c r="N12" s="180">
        <f>'приложение 3'!G27*1.2%</f>
        <v>5076871.85712</v>
      </c>
      <c r="O12" s="181">
        <f>C12+D12+H12+J12+N12</f>
        <v>454903526.61711997</v>
      </c>
      <c r="P12" s="182"/>
    </row>
    <row r="13" spans="2:17" s="91" customFormat="1" ht="53.25" customHeight="1" thickBot="1">
      <c r="B13" s="166" t="s">
        <v>119</v>
      </c>
      <c r="C13" s="167">
        <f>C12</f>
        <v>28194498.36</v>
      </c>
      <c r="D13" s="168">
        <f aca="true" t="shared" si="0" ref="D13:O13">D12</f>
        <v>167390009.64000002</v>
      </c>
      <c r="E13" s="168">
        <f>E12</f>
        <v>45664899.84</v>
      </c>
      <c r="F13" s="168">
        <f>F12</f>
        <v>13930265.719999999</v>
      </c>
      <c r="G13" s="168">
        <f t="shared" si="0"/>
        <v>107794844.08</v>
      </c>
      <c r="H13" s="168">
        <f t="shared" si="0"/>
        <v>217303158.8</v>
      </c>
      <c r="I13" s="168">
        <f t="shared" si="0"/>
        <v>0</v>
      </c>
      <c r="J13" s="168">
        <f t="shared" si="0"/>
        <v>36938987.96</v>
      </c>
      <c r="K13" s="168">
        <f t="shared" si="0"/>
        <v>0</v>
      </c>
      <c r="L13" s="168">
        <f t="shared" si="0"/>
        <v>0</v>
      </c>
      <c r="M13" s="168">
        <f t="shared" si="0"/>
        <v>0</v>
      </c>
      <c r="N13" s="168">
        <f t="shared" si="0"/>
        <v>5076871.85712</v>
      </c>
      <c r="O13" s="169">
        <f t="shared" si="0"/>
        <v>454903526.61711997</v>
      </c>
      <c r="P13" s="92"/>
      <c r="Q13" s="92"/>
    </row>
    <row r="14" spans="14:15" ht="12.75">
      <c r="N14" s="6"/>
      <c r="O14" s="5"/>
    </row>
    <row r="15" spans="2:10" ht="12.75" hidden="1">
      <c r="B15" s="7"/>
      <c r="G15" s="5"/>
      <c r="H15" s="8"/>
      <c r="I15" s="8"/>
      <c r="J15" s="8"/>
    </row>
    <row r="16" spans="2:15" ht="12.75" hidden="1">
      <c r="B16" s="1072" t="s">
        <v>158</v>
      </c>
      <c r="C16" s="1072"/>
      <c r="D16" s="1072"/>
      <c r="E16" s="1072"/>
      <c r="F16" s="1072"/>
      <c r="G16" s="1072"/>
      <c r="H16" s="1072"/>
      <c r="I16" s="1072"/>
      <c r="J16" s="1072"/>
      <c r="K16" s="1072"/>
      <c r="L16" s="1072"/>
      <c r="M16" s="1072"/>
      <c r="N16" s="1072"/>
      <c r="O16" s="1072"/>
    </row>
    <row r="17" spans="2:15" ht="60" customHeight="1" hidden="1">
      <c r="B17" s="1070"/>
      <c r="C17" s="1057" t="s">
        <v>106</v>
      </c>
      <c r="D17" s="1059" t="s">
        <v>107</v>
      </c>
      <c r="E17" s="1059"/>
      <c r="F17" s="1059"/>
      <c r="G17" s="1059"/>
      <c r="H17" s="1057" t="s">
        <v>108</v>
      </c>
      <c r="I17" s="1057" t="s">
        <v>131</v>
      </c>
      <c r="J17" s="1057" t="s">
        <v>109</v>
      </c>
      <c r="K17" s="2" t="s">
        <v>110</v>
      </c>
      <c r="L17" s="1057" t="s">
        <v>111</v>
      </c>
      <c r="M17" s="55" t="s">
        <v>112</v>
      </c>
      <c r="N17" s="1057" t="s">
        <v>113</v>
      </c>
      <c r="O17" s="1057" t="s">
        <v>128</v>
      </c>
    </row>
    <row r="18" spans="2:15" ht="38.25" customHeight="1" hidden="1">
      <c r="B18" s="1071"/>
      <c r="C18" s="1058"/>
      <c r="D18" s="55" t="s">
        <v>114</v>
      </c>
      <c r="E18" s="55"/>
      <c r="F18" s="55"/>
      <c r="G18" s="2" t="s">
        <v>115</v>
      </c>
      <c r="H18" s="1058"/>
      <c r="I18" s="1058"/>
      <c r="J18" s="1058"/>
      <c r="K18" s="2"/>
      <c r="L18" s="1058"/>
      <c r="M18" s="55"/>
      <c r="N18" s="1058"/>
      <c r="O18" s="1058"/>
    </row>
    <row r="19" spans="2:15" ht="18" customHeight="1" hidden="1">
      <c r="B19" s="51" t="s">
        <v>157</v>
      </c>
      <c r="C19" s="13">
        <v>62040529.60529471</v>
      </c>
      <c r="D19" s="13">
        <f>SUM(G19:G19)</f>
        <v>351522136.16</v>
      </c>
      <c r="E19" s="13"/>
      <c r="F19" s="13"/>
      <c r="G19" s="14">
        <v>351522136.16</v>
      </c>
      <c r="H19" s="15">
        <v>683764434.2084211</v>
      </c>
      <c r="I19" s="15">
        <v>5588230.59066451</v>
      </c>
      <c r="J19" s="15">
        <v>85704113.38288605</v>
      </c>
      <c r="K19" s="15"/>
      <c r="L19" s="15"/>
      <c r="M19" s="15"/>
      <c r="N19" s="15">
        <f>36093500+14013500</f>
        <v>50107000</v>
      </c>
      <c r="O19" s="15">
        <f>C19+D19+H19+J19+N19</f>
        <v>1233138213.3566017</v>
      </c>
    </row>
    <row r="20" spans="2:15" ht="16.5" customHeight="1" hidden="1">
      <c r="B20" s="51" t="s">
        <v>118</v>
      </c>
      <c r="C20" s="13"/>
      <c r="D20" s="13"/>
      <c r="E20" s="13"/>
      <c r="F20" s="13"/>
      <c r="G20" s="16"/>
      <c r="H20" s="17"/>
      <c r="I20" s="17"/>
      <c r="J20" s="17"/>
      <c r="K20" s="17"/>
      <c r="L20" s="17"/>
      <c r="M20" s="17"/>
      <c r="N20" s="17"/>
      <c r="O20" s="15">
        <v>0</v>
      </c>
    </row>
    <row r="21" spans="2:15" ht="12.75" hidden="1">
      <c r="B21" s="52" t="s">
        <v>119</v>
      </c>
      <c r="C21" s="18">
        <f>C19</f>
        <v>62040529.60529471</v>
      </c>
      <c r="D21" s="18">
        <f aca="true" t="shared" si="1" ref="D21:O21">D19</f>
        <v>351522136.16</v>
      </c>
      <c r="E21" s="18"/>
      <c r="F21" s="18"/>
      <c r="G21" s="18">
        <f t="shared" si="1"/>
        <v>351522136.16</v>
      </c>
      <c r="H21" s="18">
        <f t="shared" si="1"/>
        <v>683764434.2084211</v>
      </c>
      <c r="I21" s="18">
        <f t="shared" si="1"/>
        <v>5588230.59066451</v>
      </c>
      <c r="J21" s="18">
        <f t="shared" si="1"/>
        <v>85704113.38288605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50107000</v>
      </c>
      <c r="O21" s="18">
        <f t="shared" si="1"/>
        <v>1233138213.3566017</v>
      </c>
    </row>
    <row r="22" spans="2:16" ht="12.75" hidden="1">
      <c r="B22" s="6"/>
      <c r="K22" s="6"/>
      <c r="L22" s="6"/>
      <c r="M22" s="6"/>
      <c r="N22" s="6"/>
      <c r="O22" s="6"/>
      <c r="P22" s="5"/>
    </row>
    <row r="23" spans="2:16" ht="12.75" hidden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</row>
    <row r="24" spans="2:15" ht="12.75" hidden="1">
      <c r="B24" s="1075" t="s">
        <v>168</v>
      </c>
      <c r="C24" s="1075"/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075"/>
    </row>
    <row r="25" spans="2:15" ht="35.25" customHeight="1" hidden="1">
      <c r="B25" s="1066"/>
      <c r="C25" s="1063" t="s">
        <v>106</v>
      </c>
      <c r="D25" s="1065" t="s">
        <v>107</v>
      </c>
      <c r="E25" s="1065"/>
      <c r="F25" s="1065"/>
      <c r="G25" s="1065"/>
      <c r="H25" s="1063" t="s">
        <v>108</v>
      </c>
      <c r="I25" s="1063" t="s">
        <v>131</v>
      </c>
      <c r="J25" s="1063" t="s">
        <v>109</v>
      </c>
      <c r="K25" s="19" t="s">
        <v>110</v>
      </c>
      <c r="L25" s="1063" t="s">
        <v>111</v>
      </c>
      <c r="M25" s="54" t="s">
        <v>112</v>
      </c>
      <c r="N25" s="1063" t="s">
        <v>113</v>
      </c>
      <c r="O25" s="1063" t="s">
        <v>128</v>
      </c>
    </row>
    <row r="26" spans="2:15" ht="25.5" hidden="1">
      <c r="B26" s="1067"/>
      <c r="C26" s="1064"/>
      <c r="D26" s="54" t="s">
        <v>114</v>
      </c>
      <c r="E26" s="54"/>
      <c r="F26" s="54"/>
      <c r="G26" s="19" t="s">
        <v>115</v>
      </c>
      <c r="H26" s="1064"/>
      <c r="I26" s="1064"/>
      <c r="J26" s="1064"/>
      <c r="K26" s="19"/>
      <c r="L26" s="1064"/>
      <c r="M26" s="54"/>
      <c r="N26" s="1064"/>
      <c r="O26" s="1064"/>
    </row>
    <row r="27" spans="2:15" ht="21" customHeight="1" hidden="1">
      <c r="B27" s="51" t="s">
        <v>157</v>
      </c>
      <c r="C27" s="13">
        <v>66400602.152658656</v>
      </c>
      <c r="D27" s="13">
        <f>SUM(G27:G27)</f>
        <v>376226342.02</v>
      </c>
      <c r="E27" s="13"/>
      <c r="F27" s="13"/>
      <c r="G27" s="14">
        <v>376226342.02</v>
      </c>
      <c r="H27" s="15">
        <v>731817901.1504819</v>
      </c>
      <c r="I27" s="15">
        <v>5980959.197942813</v>
      </c>
      <c r="J27" s="15">
        <v>91727210.77316038</v>
      </c>
      <c r="K27" s="15"/>
      <c r="L27" s="15"/>
      <c r="M27" s="15"/>
      <c r="N27" s="15">
        <f>37681700+14630100</f>
        <v>52311800</v>
      </c>
      <c r="O27" s="15">
        <f>C27+D27+H27+J27+N27</f>
        <v>1318483856.096301</v>
      </c>
    </row>
    <row r="28" spans="2:15" ht="18" customHeight="1" hidden="1">
      <c r="B28" s="51" t="s">
        <v>118</v>
      </c>
      <c r="C28" s="13"/>
      <c r="D28" s="13"/>
      <c r="E28" s="13"/>
      <c r="F28" s="13"/>
      <c r="G28" s="16"/>
      <c r="H28" s="17"/>
      <c r="I28" s="17"/>
      <c r="J28" s="17"/>
      <c r="K28" s="17"/>
      <c r="L28" s="17"/>
      <c r="M28" s="17"/>
      <c r="N28" s="17"/>
      <c r="O28" s="15">
        <v>0</v>
      </c>
    </row>
    <row r="29" spans="2:15" ht="18" customHeight="1" hidden="1">
      <c r="B29" s="52" t="s">
        <v>119</v>
      </c>
      <c r="C29" s="18">
        <f>C27</f>
        <v>66400602.152658656</v>
      </c>
      <c r="D29" s="18">
        <f aca="true" t="shared" si="2" ref="D29:O29">D27</f>
        <v>376226342.02</v>
      </c>
      <c r="E29" s="18"/>
      <c r="F29" s="18"/>
      <c r="G29" s="18">
        <f t="shared" si="2"/>
        <v>376226342.02</v>
      </c>
      <c r="H29" s="18">
        <f t="shared" si="2"/>
        <v>731817901.1504819</v>
      </c>
      <c r="I29" s="18">
        <f t="shared" si="2"/>
        <v>5980959.197942813</v>
      </c>
      <c r="J29" s="18">
        <f t="shared" si="2"/>
        <v>91727210.77316038</v>
      </c>
      <c r="K29" s="18">
        <f t="shared" si="2"/>
        <v>0</v>
      </c>
      <c r="L29" s="18">
        <f t="shared" si="2"/>
        <v>0</v>
      </c>
      <c r="M29" s="18">
        <f t="shared" si="2"/>
        <v>0</v>
      </c>
      <c r="N29" s="18">
        <f t="shared" si="2"/>
        <v>52311800</v>
      </c>
      <c r="O29" s="18">
        <f t="shared" si="2"/>
        <v>1318483856.096301</v>
      </c>
    </row>
    <row r="30" spans="2:14" ht="12.75">
      <c r="B30" s="6"/>
      <c r="K30" s="6"/>
      <c r="L30" s="6"/>
      <c r="M30" s="6"/>
      <c r="N30" s="6"/>
    </row>
    <row r="31" spans="3:13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ht="12.75">
      <c r="C32" s="7"/>
    </row>
    <row r="33" spans="3:6" ht="12.75">
      <c r="C33" s="5"/>
      <c r="D33" s="5"/>
      <c r="E33" s="5"/>
      <c r="F33" s="5"/>
    </row>
    <row r="55" ht="12.75">
      <c r="O55" s="6">
        <v>455696549.33</v>
      </c>
    </row>
    <row r="56" ht="12.75">
      <c r="O56" s="5"/>
    </row>
    <row r="57" ht="12.75">
      <c r="O57" s="6">
        <f>O55-O13</f>
        <v>793022.7128800154</v>
      </c>
    </row>
  </sheetData>
  <sheetProtection/>
  <mergeCells count="31">
    <mergeCell ref="B25:B26"/>
    <mergeCell ref="B9:B10"/>
    <mergeCell ref="B17:B18"/>
    <mergeCell ref="B16:O16"/>
    <mergeCell ref="O9:O10"/>
    <mergeCell ref="I17:I18"/>
    <mergeCell ref="B24:O24"/>
    <mergeCell ref="J9:J10"/>
    <mergeCell ref="L25:L26"/>
    <mergeCell ref="O25:O26"/>
    <mergeCell ref="C17:C18"/>
    <mergeCell ref="I25:I26"/>
    <mergeCell ref="N25:N26"/>
    <mergeCell ref="C25:C26"/>
    <mergeCell ref="D25:G25"/>
    <mergeCell ref="N17:N18"/>
    <mergeCell ref="H25:H26"/>
    <mergeCell ref="J25:J26"/>
    <mergeCell ref="O17:O18"/>
    <mergeCell ref="D17:G17"/>
    <mergeCell ref="D9:G9"/>
    <mergeCell ref="L17:L18"/>
    <mergeCell ref="H17:H18"/>
    <mergeCell ref="J17:J18"/>
    <mergeCell ref="C9:C10"/>
    <mergeCell ref="L2:O2"/>
    <mergeCell ref="L9:L10"/>
    <mergeCell ref="B5:O5"/>
    <mergeCell ref="I9:I10"/>
    <mergeCell ref="N9:N10"/>
    <mergeCell ref="H9:H10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2016-03-28T10:23:27Z</cp:lastPrinted>
  <dcterms:created xsi:type="dcterms:W3CDTF">2006-09-16T00:00:00Z</dcterms:created>
  <dcterms:modified xsi:type="dcterms:W3CDTF">2017-08-24T09:51:02Z</dcterms:modified>
  <cp:category/>
  <cp:version/>
  <cp:contentType/>
  <cp:contentStatus/>
</cp:coreProperties>
</file>